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filterPrivacy="1" codeName="ThisWorkbook" defaultThemeVersion="166925"/>
  <xr:revisionPtr revIDLastSave="0" documentId="13_ncr:1_{EC0137E9-84B7-4CB1-953F-CAB0A4FC4DD4}" xr6:coauthVersionLast="47" xr6:coauthVersionMax="47" xr10:uidLastSave="{00000000-0000-0000-0000-000000000000}"/>
  <bookViews>
    <workbookView xWindow="-28910" yWindow="-110" windowWidth="29020" windowHeight="15820" firstSheet="12" activeTab="22" xr2:uid="{40880E3F-7D1D-4B29-8B52-F60335647E83}"/>
  </bookViews>
  <sheets>
    <sheet name="TA_Final (2)" sheetId="4" state="hidden" r:id="rId1"/>
    <sheet name="TA_Final" sheetId="1" state="hidden" r:id="rId2"/>
    <sheet name="TA_Include" sheetId="3" state="hidden" r:id="rId3"/>
    <sheet name="TA_Include_tidy_backup" sheetId="6" state="hidden" r:id="rId4"/>
    <sheet name="TA_Include_tidy" sheetId="7" state="hidden" r:id="rId5"/>
    <sheet name="Comparison Gorrod" sheetId="26" r:id="rId6"/>
    <sheet name="TA259" sheetId="8" r:id="rId7"/>
    <sheet name="TA268" sheetId="13" r:id="rId8"/>
    <sheet name="TA269" sheetId="12" r:id="rId9"/>
    <sheet name="TA285" sheetId="9" r:id="rId10"/>
    <sheet name="TA347" sheetId="18" r:id="rId11"/>
    <sheet name="TA319" sheetId="14" r:id="rId12"/>
    <sheet name="TA357" sheetId="19" r:id="rId13"/>
    <sheet name="TA366" sheetId="16" r:id="rId14"/>
    <sheet name="TA374" sheetId="25" r:id="rId15"/>
    <sheet name="TA384" sheetId="15" r:id="rId16"/>
    <sheet name="TA396" sheetId="11" r:id="rId17"/>
    <sheet name="TA400" sheetId="20" r:id="rId18"/>
    <sheet name="TA414" sheetId="24" r:id="rId19"/>
    <sheet name="TA417" sheetId="21" r:id="rId20"/>
    <sheet name="TA428" sheetId="17" r:id="rId21"/>
    <sheet name="TA476" sheetId="10" r:id="rId22"/>
    <sheet name="TA447" sheetId="23" r:id="rId23"/>
    <sheet name="TA650" sheetId="22" state="hidden" r:id="rId24"/>
    <sheet name="Final_TAs" sheetId="2" state="hidden" r:id="rId25"/>
  </sheets>
  <definedNames>
    <definedName name="_xlnm._FilterDatabase" localSheetId="1" hidden="1">TA_Final!$B$1:$G$22</definedName>
    <definedName name="_xlnm._FilterDatabase" localSheetId="0" hidden="1">'TA_Final (2)'!$A$1:$E$10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58" i="17" l="1"/>
  <c r="I22" i="12"/>
  <c r="H22" i="12"/>
  <c r="I20" i="12"/>
  <c r="H20" i="12"/>
  <c r="K62" i="13"/>
  <c r="J62" i="13"/>
  <c r="K60" i="13"/>
  <c r="J60" i="13"/>
  <c r="C70" i="11"/>
  <c r="C69" i="11"/>
  <c r="E72" i="11"/>
  <c r="D72" i="11"/>
  <c r="D70" i="11"/>
  <c r="E70" i="11"/>
  <c r="G19" i="12" l="1"/>
  <c r="G20" i="12"/>
  <c r="B41" i="22"/>
  <c r="B40" i="22"/>
  <c r="B39" i="22"/>
  <c r="F64" i="23"/>
  <c r="F63" i="23"/>
  <c r="F62" i="23"/>
  <c r="B63" i="23"/>
  <c r="E7" i="18"/>
  <c r="F7" i="18" s="1"/>
  <c r="J14" i="13"/>
  <c r="J15" i="13" s="1"/>
  <c r="C63" i="23"/>
  <c r="B62" i="23"/>
  <c r="I11" i="7"/>
  <c r="I10" i="7"/>
  <c r="G11" i="7"/>
  <c r="G10" i="7"/>
  <c r="G8" i="7"/>
  <c r="G9" i="7"/>
  <c r="I8" i="7"/>
  <c r="B46" i="18"/>
  <c r="B47" i="18" s="1"/>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 r="I60" i="13"/>
  <c r="I59" i="13"/>
</calcChain>
</file>

<file path=xl/sharedStrings.xml><?xml version="1.0" encoding="utf-8"?>
<sst xmlns="http://schemas.openxmlformats.org/spreadsheetml/2006/main" count="876" uniqueCount="320">
  <si>
    <t>Reference</t>
  </si>
  <si>
    <t>https://www.nice.org.uk/guidance/ta259/documents/prostate-cancer-metastatic-castration-resistant-abiraterone-following-cytoxic-therapy-manufacturers-submission2</t>
  </si>
  <si>
    <t>Section</t>
  </si>
  <si>
    <t>6.3.7</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</si>
  <si>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</si>
  <si>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https://www.nice.org.uk/guidance/ta285/documents/ovarian-fallopian-tube-and-primary-peritoneal-cancer-recurrent-advanced-platinumsensitive-partially-platinumsensitive-bevacizumab-evidence-review-group-report2</t>
  </si>
  <si>
    <t>Assuemed KM+Log logistic for OS</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</si>
  <si>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</si>
  <si>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https://www.nice.org.uk/guidance/ta259/documents/prostate-cancer-metastatic-castration-resistant-abiraterone-following-cytoxic-therapy-evidence-review-group-report2</t>
  </si>
  <si>
    <t>Section 1.5 (ERG)</t>
  </si>
  <si>
    <t>https://www.nice.org.uk/guidance/ta476/documents/1</t>
  </si>
  <si>
    <t>https://www.nice.org.uk/guidance/ta476/documents/committee-papers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</si>
  <si>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</si>
  <si>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</si>
  <si>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5.3.1. Incorporation of the clinical data in the model</t>
  </si>
  <si>
    <t>committee-papers (nice.org.uk)</t>
  </si>
  <si>
    <t>Dabrafenib for treating unresectable or metastatic BRAF V600 mutation-positive melanoma.</t>
  </si>
  <si>
    <t>Refrence from TA396</t>
  </si>
  <si>
    <t>National Institute for Health and Care Excellence. Vemurafenib for treating locally advanced or metastatic BRAF V600 mutation-positive malignant melanoma. NICE technology appraisal guidance 269.</t>
  </si>
  <si>
    <t>https://www.nice.org.uk/guidance/ta428/documents/committee-papers</t>
  </si>
  <si>
    <t>https://www.nice.org.uk/guidance/ta428/documents/committee-papers-3</t>
  </si>
  <si>
    <t>5.3.2 Modelling overall survival for the first 2 years</t>
  </si>
  <si>
    <t>68. National Institute for Health and Care Excellence. Pembrolizumab for treating PD-L1-positive non-small-cell lung cancer after chemotherapy. Technology appraisal guidance [TA428]. Available from: https://www.nice.org.uk/gui_x0002_dance/ta428. Accessed July 2017.</t>
  </si>
  <si>
    <t>Have data for KEYNOTE-10 studies both 2 and 5 year</t>
  </si>
  <si>
    <t>Lead team presentation (nice.org.uk)</t>
  </si>
  <si>
    <t>Googled: Piecewise exponential NICE HTA</t>
  </si>
  <si>
    <t>ta650</t>
  </si>
  <si>
    <t>Chair’s presentation (nice.org.uk)</t>
  </si>
  <si>
    <t>Do not adjust Docetaxel due to treatment switching</t>
  </si>
  <si>
    <t>Incosistent: FAD implies different cut offs to the STA; use STA</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</si>
  <si>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</si>
  <si>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National Institute for Health and Care Excellence. Trametinib in combination with dabrafenib for treating unresect_x0002_able or metastatic melanoma. Technology appraisal guidance [TA396]. Available from: https://www.nice.org
.uk/guidance/ta396. Accessed July 2017.</t>
  </si>
  <si>
    <t>Reference from TA396 - However, no piecewise model assumed.</t>
  </si>
  <si>
    <t>https://www.nice.org.uk/guidance/ta268/documents/melanoma-stage-iii-or-iv-ipilimumab-evidence-review-group-report3</t>
  </si>
  <si>
    <t>Figure 10 Long-term OS projection trends used in ERG exploratory analysis</t>
  </si>
  <si>
    <t>Figure 14 Overall survival – modelled data vs Kaplan Meier data, single curve fit</t>
  </si>
  <si>
    <t>https://www.nice.org.uk/guidance/ta268/documents/melanoma-stage-iii-or-iv-ipilimumab-manufacturers-submission-bristol-myerssquibb2</t>
  </si>
  <si>
    <t>https://www.nice.org.uk/guidance/ta319/documents/evaluation-report2</t>
  </si>
  <si>
    <t xml:space="preserve">See Evaluation Report - ERG </t>
  </si>
  <si>
    <t>Manufacturer used KM + Weibull data</t>
  </si>
  <si>
    <t>30. National Institute for Health and Care Excellence. Ipilimumab for previously untreated advanced (unresectable or
metastatic) melanoma. Technology appraisal guidance
[TA319]. Available from: https://www.nice.org.uk/gui
dance/ta319. Accessed July 2017.</t>
  </si>
  <si>
    <t>17. National Institute for Health and Care Excellence. Ipilimumab for previously treated advanced (unresectable or metastatic) melanoma. Technology appraisal guidance [TA268].
Available from: https://www.nice.org.uk/guidance/ta268.
Accessed July 2017.</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</si>
  <si>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</si>
  <si>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</si>
  <si>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</si>
  <si>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</si>
  <si>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</si>
  <si>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</si>
  <si>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https://www.nice.org.uk/guidance/ta384/documents/final-appraisal-determination-document</t>
  </si>
  <si>
    <t>41. National Institute for Health and Care Excellence. Pembrolizumab for advanced melanoma not previously treated
with ipilimumab. Technology appraisal guidance [TA366].
Available from: https://www.nice.org.uk/guidance/ta366.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</si>
  <si>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</si>
  <si>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</si>
  <si>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49. National Institute for Health and Care Excellence. Nivolumab for treating advanced (unresectable or metastatic) melanoma. Technology appraisal guidance [TA384]. Available
from: https://www.nice.org.uk/guidance/ta384.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</si>
  <si>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</si>
  <si>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</si>
  <si>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56.National Institute for Health and Care Excellence. Nivolumab in combination with ipilimumab for treating advanced
melanoma. Technology appraisal guidance [TA400]. Available from: https://www.nice.org.uk/guidance/ta400. Accessed
July 2017.</t>
  </si>
  <si>
    <t>https://www.nice.org.uk/guidance/ta417/documents/committee-papers-4</t>
  </si>
  <si>
    <t>Unclear where piecewise modelling was employed</t>
  </si>
  <si>
    <t>National Institute for Health and Care Excellence. Nivolumab for previously treated advanced renal cell carcinoma.
Technology appraisal guidance [TA417]. Available from:</t>
  </si>
  <si>
    <t>Include/Exclude</t>
  </si>
  <si>
    <t>Exclude</t>
  </si>
  <si>
    <t>ERG assumed KM + Extrapolation but not clear if exponential or other parametric model used</t>
  </si>
  <si>
    <t>Include</t>
  </si>
  <si>
    <t>Notes</t>
  </si>
  <si>
    <t>Assumed KM+Log logistic for OS</t>
  </si>
  <si>
    <t>Reference from TA396</t>
  </si>
  <si>
    <t>Do not adjust Docetaxel due to treatment switching;
Have data for KEYNOTE-10 studies both 2 and 5 year</t>
  </si>
  <si>
    <t xml:space="preserve">Manufacturer used KM + Weibull data See Evaluation Report - ERG </t>
  </si>
  <si>
    <t>Include (Not Extracted Yet)</t>
  </si>
  <si>
    <t>Pembrolizumab with axitinib for untreated metastatic renal cell carcinoma TA650</t>
  </si>
  <si>
    <t>BIBTeX</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</si>
  <si>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</si>
  <si>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 xml:space="preserve"> @misc{nice_2012, title={Vemurafenib for treating locally advanced or metastatic BRAF&amp;nbsp;V600 mutation‑positive malignant melanoma: Technology Appraisal Guidance}, url={https://www.nice.org.uk/guidance/ta269}, journal={NICE}, year={2012}, month={Dec}} </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</si>
  <si>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</si>
  <si>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</si>
  <si>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@misc{nice_2012, title={Ipilimumab for previously treated advanced (unresectable or metastatic) melanoma: Technology Appraisal Guidance}, url={https://www.nice.org.uk/guidance/ta268}, journal={NICE}, year={2012}, month={Dec}}</t>
  </si>
  <si>
    <t xml:space="preserve"> @misc{nice_2015, title={Nintedanib for previously treated locally advanced, metastatic, or locally recurrent non‑small‑cell lung cancer: Technology Appraisal Guidance}, url={https://www.nice.org.uk/guidance/ta347}, journal={NICE}, year={2015}, month={Jul}} </t>
  </si>
  <si>
    <t>@misc{nice_2020, title={Pembrolizumab with axitinib for untreated advanced renal cell carcinoma: Technology Appraisal Guidance}, url={https://www.nice.org.uk/guidance/ta650}, journal={NICE}, year={2020}, month={Sep}}</t>
  </si>
  <si>
    <t>Technology Apprasial</t>
  </si>
  <si>
    <t>TA396</t>
  </si>
  <si>
    <t>TA269</t>
  </si>
  <si>
    <t>TA428</t>
  </si>
  <si>
    <t>TA268</t>
  </si>
  <si>
    <t>TA347</t>
  </si>
  <si>
    <t>TA650</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</si>
  <si>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</si>
  <si>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Incosistent: FAD implies different cut offs to the STA; use STA:
https://www.nice.org.uk/guidance/ta269/documents/melanoma-braf-v600-mutation-positive-unresectable-metastatic-vemurafenib-roche-products4</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</si>
  <si>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</si>
  <si>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</si>
  <si>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PEM model results</t>
  </si>
  <si>
    <t>Outcomes</t>
  </si>
  <si>
    <t>Approach to identify constant hazard segment</t>
  </si>
  <si>
    <t>PFS and OS both arms</t>
  </si>
  <si>
    <t>PFS T+D = 11.8 and BRAF Inhibitor = 12.5 months
For OS it was 18.6 (4.2-21.0), 3.2 (2.8-23.3)</t>
  </si>
  <si>
    <t>Visual inspection</t>
  </si>
  <si>
    <t>PFS both arms</t>
  </si>
  <si>
    <t>Sizer Package in R fit to cumulative hazard plot</t>
  </si>
  <si>
    <t>PFS both arms = 4 months</t>
  </si>
  <si>
    <t>V = 2.6 months; D = 3.7 months;</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</si>
  <si>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</si>
  <si>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</si>
  <si>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</si>
  <si>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</si>
  <si>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</si>
  <si>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</si>
  <si>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This analysis was considered by the Evidence Review Group (ERG) rather than the company's original submission.</t>
  </si>
  <si>
    <t>OS GP100 340 days; OS All IPI 770 days
PFS GP100 190 days; PFS All IPI 365 days</t>
  </si>
  <si>
    <t>OS; GP100 1.15 years; Ipi 2.1 years</t>
  </si>
  <si>
    <t>PFS; GP100 0.57 years; Ipi :1.28 years.</t>
  </si>
  <si>
    <t>Follow up results</t>
  </si>
  <si>
    <t>PFS T+D = 14.71; BRAF inhibitor = 19.13 months;
OS T+D = 18.3</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</si>
  <si>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</si>
  <si>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</si>
  <si>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</si>
  <si>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Assumed Visual Inspection</t>
  </si>
  <si>
    <t>Y</t>
  </si>
  <si>
    <t>N</t>
  </si>
  <si>
    <t>Timepoints for start of constant hazard segment</t>
  </si>
  <si>
    <t>Y (Only OS presented)</t>
  </si>
  <si>
    <t xml:space="preserve">BRAF inhibitor arm for OS not included as the analysis was adjusted for treatment switching which we could not replicate.
Confidence intervals are very wide for the sizer PFS, however, hazards are broadly similar. </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</si>
  <si>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</si>
  <si>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</si>
  <si>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Treatments</t>
  </si>
  <si>
    <t>Dabrafenib plus trametinib</t>
  </si>
  <si>
    <t>Dabrafenib plus trametinib (D+T)</t>
  </si>
  <si>
    <t>Treatment Arm</t>
  </si>
  <si>
    <t xml:space="preserve">Dabrafenib or Vemurafenib monotherapy (BRAF Inhibitor) </t>
  </si>
  <si>
    <t>OS</t>
  </si>
  <si>
    <t>Timepoint for start of constant hazard segment - Company Submission</t>
  </si>
  <si>
    <t>Mean value of change-point for final segment - PEM</t>
  </si>
  <si>
    <t>PFS</t>
  </si>
  <si>
    <t>NA</t>
  </si>
  <si>
    <t>Vemurafenib</t>
  </si>
  <si>
    <t xml:space="preserve">Dacarbazine </t>
  </si>
  <si>
    <t>Pembrolizumab</t>
  </si>
  <si>
    <t>Glycoprotein 100 (GP100)</t>
  </si>
  <si>
    <t xml:space="preserve"> Ipilimumab (IPI)</t>
  </si>
  <si>
    <t>Nitedanib + Docetaxel (N+D)</t>
  </si>
  <si>
    <t>Docetaxel (D)</t>
  </si>
  <si>
    <t>Details not available</t>
  </si>
  <si>
    <t>Pembrolizumab with axitinib (P+A)</t>
  </si>
  <si>
    <t>Sunitinib (S)</t>
  </si>
  <si>
    <t>Glycoprotein 100</t>
  </si>
  <si>
    <t xml:space="preserve"> Ipilimumab</t>
  </si>
  <si>
    <t>Docetaxel</t>
  </si>
  <si>
    <t>Pembrolizumab + Axitinib</t>
  </si>
  <si>
    <t>Sunitinib tnote{3}</t>
  </si>
  <si>
    <t>PFS and OS both arms tnote{1}</t>
  </si>
  <si>
    <t>OS both arms  tnote{1}</t>
  </si>
  <si>
    <t>Dabrafenib or Vemurafenib</t>
  </si>
  <si>
    <t>R package ``SiZer'' used</t>
  </si>
  <si>
    <t xml:space="preserve">"@misc{TA269, title={Vemurafenib for treating locally advanced or metastatic BRAF&amp;nbsp;V600 mutation‑positive malignant melanoma: Technology Appraisal Guidance}, url={https://www.nice.org.uk/guidance/ta269}, journal={NICE}, year={2012}, month={Dec}} </t>
  </si>
  <si>
    <t>"@misc{TA396, title={Trametinib in combination with dabrafenib for treating unresectable or metastatic melanoma: Technology Appraisal Guidance}, url={https://www.nice.org.uk/Guidance/TA396}, journal={National Institute for Health and Care Excellence.}, year={2016}, month={Jun}}</t>
  </si>
  <si>
    <t xml:space="preserve">"@misc{TA428, title={Pembrolizumab for treating PD-L1-positive non-small-cell lung cancer after chemotherapy: Technology Appraisal Guidance}, url={https://www.nice.org.uk/guidance/ta428}, journal={NICE}, year={2017}, month={Jan}} </t>
  </si>
  <si>
    <t>"@misc{TA268, title={Ipilimumab for previously treated advanced (unresectable or metastatic) melanoma: Technology Appraisal Guidance}, url={https://www.nice.org.uk/guidance/ta268}, journal={NICE}, year={2012}, month={Dec}}</t>
  </si>
  <si>
    <t xml:space="preserve"> "@misc{TA347, title={Nintedanib for previously treated locally advanced, metastatic, or locally recurrent non‑small‑cell lung cancer: Technology Appraisal Guidance}, url={https://www.nice.org.uk/guidance/ta347}, journal={NICE}, year={2015}, month={Jul}} </t>
  </si>
  <si>
    <t>"@misc{TA650, title={Pembrolizumab with axitinib for untreated advanced renal cell carcinoma: Technology Appraisal Guidance}, url={https://www.nice.org.uk/guidance/ta650}, journal={NICE}, year={2020}, month={Sep}}</t>
  </si>
  <si>
    <t>Nintedanib + Docetaxel tnote{2}</t>
  </si>
  <si>
    <t>Nintedanib + Docetaxel (N+D)</t>
  </si>
  <si>
    <t>Hyperlink</t>
  </si>
  <si>
    <t>Section (Reference within Text)</t>
  </si>
  <si>
    <t>https://www.nice.org.uk/guidance/ta269/documents/melanoma-braf-v600-mutation-positive-unresectable-metastatic-vemurafenib-roche-products4</t>
  </si>
  <si>
    <t>Improved Survival with Vemurafenib in Melanoma with BRAF V600E Mutation (nejm.org)</t>
  </si>
  <si>
    <t>https://www.ncbi.nlm.nih.gov/pmc/articles/PMC3549297/pdf/nihms-431916.pdf</t>
  </si>
  <si>
    <t>https://www.nice.org.uk/guidance/ta366/documents/final-appraisal-determination-document</t>
  </si>
  <si>
    <t>https://www.nice.org.uk/guidance/ta347</t>
  </si>
  <si>
    <t>Does not seem that piecewise modelling was employed.</t>
  </si>
  <si>
    <t>committee-papers-pdf-4909657501 (nice.org.uk)</t>
  </si>
  <si>
    <t>Updated TA531</t>
  </si>
  <si>
    <t>TA477</t>
  </si>
  <si>
    <t>https://www.nice.org.uk/guidance/ta531/documents/committee-papers-3</t>
  </si>
  <si>
    <t>TA447</t>
  </si>
  <si>
    <t>OS both arms tnote{1}</t>
  </si>
  <si>
    <t xml:space="preserve"> Mixed data sources rather than assuming different hazards</t>
  </si>
  <si>
    <t>https://www.nice.org.uk/guidance/ta366/documents/committee-papers</t>
  </si>
  <si>
    <t>Only seems to be done for treatment duration</t>
  </si>
  <si>
    <t>1 (nice.org.uk)</t>
  </si>
  <si>
    <t>National Institute for Health and Care Excellence. Pem_x0002_brolizumab for treating PD-L1-positive non-small-cell lung
cancer after chemotherapy. Technology appraisal guidance
[TA428]. Available from: https://www.nice.org.uk/gui_x0002_dance/ta428. Accessed July 2017.</t>
  </si>
  <si>
    <t>TA417</t>
  </si>
  <si>
    <t>National Institute for Health and Care Excellence. Nivolumab for previously treated advanced renal cell carcinoma.
Technology appraisal guidance [TA417]. Available from:
https://www.nice.org.uk/guidance/ta417. Accessed July 2017.</t>
  </si>
  <si>
    <t>Only TTD</t>
  </si>
  <si>
    <t>TA414</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</si>
  <si>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</si>
  <si>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TA400</t>
  </si>
  <si>
    <t>National Institute for Health and Care Excellence. Nivolumab in combination with ipilimumab for treating advanced
melanoma. Technology appraisal guidance [TA400]. Available from: https://www.nice.org.uk/guidance/ta400. Accessed
July 2017.</t>
  </si>
  <si>
    <t>TA374</t>
  </si>
  <si>
    <t>TA366</t>
  </si>
  <si>
    <t>TA360</t>
  </si>
  <si>
    <t>TA357</t>
  </si>
  <si>
    <t>TA319</t>
  </si>
  <si>
    <t>TA285</t>
  </si>
  <si>
    <t>TA259</t>
  </si>
  <si>
    <t>*All page Numbers refer to the the full document in the pdf and not the page numbers at the bottom of the page (i.e. company submission and ERG are often inlcuded in the same document)</t>
  </si>
  <si>
    <t>Location</t>
  </si>
  <si>
    <t>National Institute for Health and Care Excellence. Abiraterone for castration-resistant metastatic prostate cancer previously treated with a docetaxel-containing regimen. Technology appraisal guidance [TA259]. Available from: https://www.nice.org.uk/guidance/ta259. Accessed July 2017.</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</si>
  <si>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</si>
  <si>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Section Heading *</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</si>
  <si>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t>
  </si>
  <si>
    <t>ERG report</t>
  </si>
  <si>
    <t>Company Submission</t>
  </si>
  <si>
    <t>ERG Report</t>
  </si>
  <si>
    <t>Section 1.5 - page 15</t>
  </si>
  <si>
    <t>6.3.7 - page 98</t>
  </si>
  <si>
    <t xml:space="preserve">Pivitol Trial </t>
  </si>
  <si>
    <t>Days to Years</t>
  </si>
  <si>
    <t>Years to Months</t>
  </si>
  <si>
    <t>Figure 14 Overall survival – modelled data vs Kaplan Meier data, single curve fit (pages 103-104)</t>
  </si>
  <si>
    <t>page 135</t>
  </si>
  <si>
    <t>page 149-151</t>
  </si>
  <si>
    <t>Digitized Data</t>
  </si>
  <si>
    <t>Used to obtain Number at risk for digitization</t>
  </si>
  <si>
    <t>Changepoint locations</t>
  </si>
  <si>
    <t>TA</t>
  </si>
  <si>
    <t>Section/Figure/Page</t>
  </si>
  <si>
    <t>Information</t>
  </si>
  <si>
    <t>Was B&amp;B used?</t>
  </si>
  <si>
    <t>Change-point assumed by ERG</t>
  </si>
  <si>
    <t>Kaplan-Meier survival curves</t>
  </si>
  <si>
    <t>Figure 10 Long-term OS projection trends used in ERG exploratory analysis;Also see pages 66-67</t>
  </si>
  <si>
    <t>Risk Sets for KM curves</t>
  </si>
  <si>
    <t>Pivotal Trial publication - Improved Survival with Vemurafenib in Melanoma with BRAF V600E Mutation Chapman et al 2011</t>
  </si>
  <si>
    <t>page 2512</t>
  </si>
  <si>
    <t>Changepoint Locations</t>
  </si>
  <si>
    <t>KM Curves</t>
  </si>
  <si>
    <t>B&amp;B approach used?</t>
  </si>
  <si>
    <t>KM Curve - PFS</t>
  </si>
  <si>
    <t>Change-point locations</t>
  </si>
  <si>
    <t>pg 87-90</t>
  </si>
  <si>
    <t>KM Curve - OS</t>
  </si>
  <si>
    <t xml:space="preserve">pg 90 </t>
  </si>
  <si>
    <t>pg 92 - Figure 10</t>
  </si>
  <si>
    <t>page 71</t>
  </si>
  <si>
    <t>melanoma-previously-untreated-unresectable-stage-iii-or-iv-ipilimumab-id74-evaluation-report2 (nice.org.uk)</t>
  </si>
  <si>
    <t>page 10</t>
  </si>
  <si>
    <t>Final Appraisal Determination (FAD) report</t>
  </si>
  <si>
    <t>page 428</t>
  </si>
  <si>
    <t xml:space="preserve">Committee Papers do not give sufficient detail </t>
  </si>
  <si>
    <t>Final Appraisal Determination does not give sufficient detail either</t>
  </si>
  <si>
    <t xml:space="preserve">Source </t>
  </si>
  <si>
    <t>Was B&amp;B used - PFS?</t>
  </si>
  <si>
    <t>Was B&amp;B used - OS?</t>
  </si>
  <si>
    <t>Pre-meeting briefing</t>
  </si>
  <si>
    <t>page 43</t>
  </si>
  <si>
    <t>page 7</t>
  </si>
  <si>
    <t>Change-point location</t>
  </si>
  <si>
    <t>5.3.1. Incorporation of the clinical data in the model - page 192</t>
  </si>
  <si>
    <t xml:space="preserve">Company Submission </t>
  </si>
  <si>
    <t>page 104 &amp; page 106</t>
  </si>
  <si>
    <t>Kaplan Meier Curves COMBI-D</t>
  </si>
  <si>
    <t>Kaplan Meier Curves COMBI-V</t>
  </si>
  <si>
    <t>page 113 &amp; page 115</t>
  </si>
  <si>
    <t>Pivotal Trial</t>
  </si>
  <si>
    <t>Updated OS Kaplan Meier Curve (Dabrafenib + trametinib only) - Five-Year Outcomes with Dabrafenib plus Trametinib in Metastatic Melanoma</t>
  </si>
  <si>
    <t>Five-Year Outcomes with Dabrafenib plus Trametinib in Metastatic Melanoma | NEJM</t>
  </si>
  <si>
    <t>Figure 1 and 2</t>
  </si>
  <si>
    <t>Committee papers</t>
  </si>
  <si>
    <t>committee-papers-2 (nice.org.uk)</t>
  </si>
  <si>
    <t>page 159</t>
  </si>
  <si>
    <t>Was B&amp;B used ?</t>
  </si>
  <si>
    <t>page 204</t>
  </si>
  <si>
    <t>page 183</t>
  </si>
  <si>
    <t>page 225-228</t>
  </si>
  <si>
    <t>Pivotal trial</t>
  </si>
  <si>
    <t>Pembrolizumab versus docetaxel for previously treated, PD-L1-positive, advanced non-small-cell lung cancer (KEYNOTE-010): a randomised controlled trial - The Lancet</t>
  </si>
  <si>
    <t>Figure 2 (2mg/kg was extracted)</t>
  </si>
  <si>
    <t>Kaplan-Meirer OS - Initial</t>
  </si>
  <si>
    <t>Kaplan-Meirer OS - Update</t>
  </si>
  <si>
    <t>Five Year Survival Update From KEYNOTE-010: Pembrolizumab Versus Docetaxel for Previously Treated, Programmed Death-Ligand 1–Positive Advanced NSCLC - Journal of Thoracic Oncology (jto.org)</t>
  </si>
  <si>
    <t>Figure 1 (TPS &gt;= 1% was extracted)</t>
  </si>
  <si>
    <t>page 458</t>
  </si>
  <si>
    <t>Uncelar; ERG possibly assumed KM + Extrapolation but not clear if exponential or other parametric model used (Was used in TA360, however, cannot access that anymore).</t>
  </si>
  <si>
    <t>page 53</t>
  </si>
  <si>
    <t>committee-papers-3 (nice.org.uk)</t>
  </si>
  <si>
    <t>Committee papers (Pre-meeting briefing)</t>
  </si>
  <si>
    <t>page 20</t>
  </si>
  <si>
    <t>Was B&amp;B used? (and Changepoint location)</t>
  </si>
  <si>
    <t>Committee papers (Pre-meeting briefing) - TA531</t>
  </si>
  <si>
    <t>page 76</t>
  </si>
  <si>
    <t>page 45</t>
  </si>
  <si>
    <t>TA369</t>
  </si>
  <si>
    <t>National Institute for Health and Care Excellence. Pem_x0002_brolizumab for advanced melanoma not previously treated
with ipilimumab. Technology appraisal guidance [TA366]. Available from: https://www.nice.org.uk/guidance/ta366. Accessed July 2017.</t>
  </si>
  <si>
    <t>Reference as per Gorrod Paper</t>
  </si>
  <si>
    <t>Note</t>
  </si>
  <si>
    <t>Not identified as Piecewise by Gorrod et al.</t>
  </si>
  <si>
    <t>Not referenced in Gorrod, Within scope of review "the scope was restricted to completed NICE STAs for cancer treatments that commenced between July 1, 2011, and June 30, 2017"</t>
  </si>
  <si>
    <t>N/A</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</si>
  <si>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Accessed July 2017</t>
  </si>
  <si>
    <t xml:space="preserve"> National Institute for Health and Care Excellence. Pem_x0002_brolizumab for treating advanced melanoma after disease
progression with ipilimumab. Technology appraisal guidance [TA357]. Available from: https://www.nice.org.uk/
guidance/ta357. Accessed July 2017.</t>
  </si>
  <si>
    <t>National Institute for Health and Care Excellence. Bevacizumab in combination with gemcitabine and carboplatin
for treating the first recurrence of platinum-sensitive advanced ovarian cancer. Technology appraisal guidance [TA285]. Available from: https://www.nice.org.uk/guidance/ta285. Accessed July 2017.</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</si>
  <si>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</si>
  <si>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</si>
  <si>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National Institute for Health and Care Excellence. Ipilimumab for previously untreated advanced (unresectable or
metastatic) melanoma. Technology appraisal guidance [TA319]. Available from: https://www.nice.org.uk/guidance/ta319. Accessed July 2017.</t>
  </si>
  <si>
    <t xml:space="preserve"> National Institute for Health and Care Excellence. Erlotinib and gefitinib for treating non-small-cell lung cancer
that has progressed after prior chemotherapy. Technology
appraisal guidance [TA374]. Available from: https://www.nice.org.uk/guidance/ta374. Accessed July 2017.</t>
  </si>
  <si>
    <t>National Institute for Health and Care Excellence. Trametinib in combination with dabrafenib for treating unresect_x0002_able or metastatic melanoma. Technology appraisal guidance [TA396]. Available from: https://www.nice.org .uk/guidance/ta396. Accessed July 2017.</t>
  </si>
  <si>
    <t>Reference Number per Gorrod Paper</t>
  </si>
  <si>
    <t>National Institute for Health and Care Excellence. Vemurafenib for treating locally advanced or metastatic BRAF
V600 mutation-positive malignant melanoma. Technology appraisal guidance [TA269]. Available from: https://www.nice.org.uk/guidance/ta269. Accessed July 2017.</t>
  </si>
  <si>
    <t xml:space="preserve"> National Institute for Health and Care Excellence. Nintedanib for previously treated locally advanced, metastatic,
or locally recurrent non-small-cell lung cancer. Technology appraisal guidance [TA347]. Available from: https://
www.nice.org.uk/guidance/ta347. accessed July 2017.</t>
  </si>
  <si>
    <t>Pembrolizumab for untreated PD-L1-positive metastatic non-small-cell lung cancer - No updated and replaced by TA531</t>
  </si>
  <si>
    <t>TA Number - See Worksheet for reason for Inclusion/Exclusion</t>
  </si>
  <si>
    <t>Included in Analysis</t>
  </si>
  <si>
    <t>Bell Gorrod H, Kearns B, Stevens J, et al. A Review of Survival Analysis Methods Used in NICE Technology Appraisals of Cancer Treatments: Consistency, Limitations, and Areas for Improvement. Medical Decision Making. 2019;39(8):899-909. doi:10.1177/0272989X19881967</t>
  </si>
  <si>
    <t>COMBI-V</t>
  </si>
  <si>
    <t>COMBI-D</t>
  </si>
  <si>
    <t>Age</t>
  </si>
  <si>
    <t>Male</t>
  </si>
  <si>
    <t>Pooled</t>
  </si>
  <si>
    <t>Taf-Mek arm</t>
  </si>
  <si>
    <t>Weight</t>
  </si>
  <si>
    <t>Ipi Arm</t>
  </si>
  <si>
    <t>Ipi + gp100</t>
  </si>
  <si>
    <t>Ipi alone</t>
  </si>
  <si>
    <t>Dacarbazine</t>
  </si>
  <si>
    <t>Baseline Characteristics</t>
  </si>
  <si>
    <t>page pg 52</t>
  </si>
  <si>
    <t>Efficacy and Safety of Nintedanib Plus Docetaxel in Patients with Advanced Lung Adenocarcinoma: Complementary and Exploratory Analyses of the Phase III LUME-Lung 1 Study | SpringerLink</t>
  </si>
  <si>
    <t>Trial Manuscript</t>
  </si>
  <si>
    <t>Table 1</t>
  </si>
  <si>
    <t>Baseline Charachteristics</t>
  </si>
  <si>
    <t>Pembrolizumab 2mg/kg</t>
  </si>
  <si>
    <t>page 117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</si>
</sst>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Red]\-&quot;€&quot;#,##0.00"/>
    <numFmt numFmtId="165" formatCode="0.000"/>
  </numFmts>
  <fonts count="7" x14ac:knownFonts="1">
    <font>
      <sz val="11"/>
      <color theme="1"/>
      <name val="Calibri"/>
      <family val="2"/>
      <scheme val="minor"/>
    </font>
    <font>
      <u/>
      <sz val="11"/>
      <color theme="10"/>
      <name val="Calibri"/>
      <family val="2"/>
      <scheme val="minor"/>
    </font>
    <font>
      <u/>
      <sz val="11"/>
      <color theme="1"/>
      <name val="Calibri"/>
      <family val="2"/>
      <scheme val="minor"/>
    </font>
    <font>
      <b/>
      <u/>
      <sz val="11"/>
      <color theme="1"/>
      <name val="Calibri"/>
      <family val="2"/>
      <scheme val="minor"/>
    </font>
    <font>
      <b/>
      <i/>
      <u/>
      <sz val="11"/>
      <color theme="1"/>
      <name val="Calibri"/>
      <family val="2"/>
      <scheme val="minor"/>
    </font>
    <font>
      <i/>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3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33">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1" xfId="0" applyBorder="1" applyAlignment="1">
      <alignment horizontal="left" vertical="top" wrapText="1"/>
    </xf>
    <xf numFmtId="0" fontId="0" fillId="0" borderId="13" xfId="0" applyFill="1" applyBorder="1" applyAlignment="1">
      <alignment horizontal="center"/>
    </xf>
    <xf numFmtId="0" fontId="0" fillId="0" borderId="13" xfId="0"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164" fontId="0" fillId="0" borderId="0" xfId="0" applyNumberFormat="1" applyAlignment="1">
      <alignment wrapText="1"/>
    </xf>
    <xf numFmtId="164" fontId="0" fillId="0" borderId="0" xfId="0" applyNumberFormat="1"/>
    <xf numFmtId="0" fontId="0" fillId="3" borderId="0" xfId="0" applyFill="1"/>
    <xf numFmtId="0" fontId="0" fillId="0" borderId="8" xfId="0" applyBorder="1" applyAlignment="1">
      <alignment vertical="center"/>
    </xf>
    <xf numFmtId="0" fontId="0" fillId="0" borderId="8" xfId="0" applyFill="1" applyBorder="1" applyAlignment="1">
      <alignment vertical="center"/>
    </xf>
    <xf numFmtId="0" fontId="0" fillId="0" borderId="2" xfId="0" applyFill="1" applyBorder="1" applyAlignment="1">
      <alignment vertical="center"/>
    </xf>
    <xf numFmtId="0" fontId="0" fillId="0" borderId="5" xfId="0" applyBorder="1" applyAlignment="1">
      <alignment vertical="center"/>
    </xf>
    <xf numFmtId="0" fontId="0" fillId="0" borderId="12" xfId="0" applyBorder="1"/>
    <xf numFmtId="0" fontId="1" fillId="0" borderId="12" xfId="1" applyBorder="1"/>
    <xf numFmtId="0" fontId="2" fillId="0" borderId="0" xfId="0" applyFont="1"/>
    <xf numFmtId="0" fontId="0" fillId="0" borderId="12" xfId="0" applyFill="1" applyBorder="1"/>
    <xf numFmtId="0" fontId="0" fillId="0" borderId="12" xfId="0" applyBorder="1" applyAlignment="1"/>
    <xf numFmtId="0" fontId="0" fillId="0" borderId="12" xfId="0" applyBorder="1" applyAlignment="1">
      <alignment wrapText="1"/>
    </xf>
    <xf numFmtId="0" fontId="3" fillId="0" borderId="0" xfId="0" applyFont="1"/>
    <xf numFmtId="0" fontId="4" fillId="0" borderId="0" xfId="0" applyFont="1"/>
    <xf numFmtId="0" fontId="0" fillId="0" borderId="12" xfId="0" applyFill="1" applyBorder="1" applyAlignment="1"/>
    <xf numFmtId="0" fontId="5" fillId="0" borderId="0" xfId="0" applyFont="1"/>
    <xf numFmtId="0" fontId="0" fillId="0" borderId="8" xfId="0" applyBorder="1" applyAlignment="1"/>
    <xf numFmtId="0" fontId="5" fillId="0" borderId="8" xfId="0" applyFont="1" applyBorder="1"/>
    <xf numFmtId="0" fontId="5" fillId="0" borderId="0" xfId="0" applyFont="1" applyBorder="1"/>
    <xf numFmtId="0" fontId="0" fillId="0" borderId="0" xfId="0" applyBorder="1"/>
    <xf numFmtId="0" fontId="0" fillId="0" borderId="12" xfId="0" applyBorder="1" applyAlignment="1">
      <alignment vertical="center"/>
    </xf>
    <xf numFmtId="0" fontId="6" fillId="0" borderId="0" xfId="0" applyFont="1"/>
    <xf numFmtId="0" fontId="6" fillId="0" borderId="0" xfId="0" applyFont="1" applyAlignment="1">
      <alignment wrapText="1"/>
    </xf>
    <xf numFmtId="165" fontId="0" fillId="0" borderId="0" xfId="0" applyNumberFormat="1"/>
    <xf numFmtId="165" fontId="0" fillId="2" borderId="12" xfId="0" applyNumberFormat="1" applyFill="1" applyBorder="1"/>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2" xfId="0" applyBorder="1" applyAlignment="1">
      <alignment horizontal="center" vertical="center"/>
    </xf>
    <xf numFmtId="0" fontId="0" fillId="0" borderId="2" xfId="0" applyBorder="1" applyAlignment="1">
      <alignment vertical="center"/>
    </xf>
    <xf numFmtId="0" fontId="0" fillId="0" borderId="5" xfId="0" applyBorder="1" applyAlignment="1">
      <alignment vertical="center"/>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0" fontId="1" fillId="0" borderId="13" xfId="1" applyBorder="1" applyAlignment="1">
      <alignment horizontal="center" vertical="center" wrapText="1"/>
    </xf>
    <xf numFmtId="0" fontId="1" fillId="0" borderId="29" xfId="1" applyBorder="1" applyAlignment="1">
      <alignment horizontal="center" vertical="center" wrapText="1"/>
    </xf>
    <xf numFmtId="0" fontId="1" fillId="0" borderId="14" xfId="1" applyBorder="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4"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7</xdr:col>
      <xdr:colOff>324847</xdr:colOff>
      <xdr:row>39</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10</xdr:col>
      <xdr:colOff>363815</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11</xdr:col>
      <xdr:colOff>449621</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xdr:col>
      <xdr:colOff>448631</xdr:colOff>
      <xdr:row>23</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10</xdr:row>
      <xdr:rowOff>123825</xdr:rowOff>
    </xdr:from>
    <xdr:to>
      <xdr:col>1</xdr:col>
      <xdr:colOff>6573187</xdr:colOff>
      <xdr:row>22</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8</xdr:row>
      <xdr:rowOff>57150</xdr:rowOff>
    </xdr:from>
    <xdr:to>
      <xdr:col>14</xdr:col>
      <xdr:colOff>248969</xdr:colOff>
      <xdr:row>41</xdr:row>
      <xdr:rowOff>181949</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3522061</xdr:colOff>
      <xdr:row>22</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25</xdr:row>
      <xdr:rowOff>0</xdr:rowOff>
    </xdr:from>
    <xdr:to>
      <xdr:col>3</xdr:col>
      <xdr:colOff>3398219</xdr:colOff>
      <xdr:row>39</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4</xdr:col>
      <xdr:colOff>1800225</xdr:colOff>
      <xdr:row>6</xdr:row>
      <xdr:rowOff>104775</xdr:rowOff>
    </xdr:from>
    <xdr:to>
      <xdr:col>12</xdr:col>
      <xdr:colOff>562876</xdr:colOff>
      <xdr:row>26</xdr:row>
      <xdr:rowOff>29096</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8020050" y="1247775"/>
          <a:ext cx="6458851" cy="3734321"/>
        </a:xfrm>
        <a:prstGeom prst="rect">
          <a:avLst/>
        </a:prstGeom>
      </xdr:spPr>
    </xdr:pic>
    <xdr:clientData/>
  </xdr:twoCellAnchor>
  <xdr:twoCellAnchor editAs="oneCell">
    <xdr:from>
      <xdr:col>14</xdr:col>
      <xdr:colOff>266700</xdr:colOff>
      <xdr:row>7</xdr:row>
      <xdr:rowOff>28575</xdr:rowOff>
    </xdr:from>
    <xdr:to>
      <xdr:col>24</xdr:col>
      <xdr:colOff>477130</xdr:colOff>
      <xdr:row>25</xdr:row>
      <xdr:rowOff>48106</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4706600" y="1362075"/>
          <a:ext cx="6306430" cy="3448531"/>
        </a:xfrm>
        <a:prstGeom prst="rect">
          <a:avLst/>
        </a:prstGeom>
      </xdr:spPr>
    </xdr:pic>
    <xdr:clientData/>
  </xdr:twoCellAnchor>
  <xdr:twoCellAnchor editAs="oneCell">
    <xdr:from>
      <xdr:col>4</xdr:col>
      <xdr:colOff>1847850</xdr:colOff>
      <xdr:row>26</xdr:row>
      <xdr:rowOff>47625</xdr:rowOff>
    </xdr:from>
    <xdr:to>
      <xdr:col>13</xdr:col>
      <xdr:colOff>48533</xdr:colOff>
      <xdr:row>43</xdr:row>
      <xdr:rowOff>181446</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067675" y="5000625"/>
          <a:ext cx="6506483" cy="3372321"/>
        </a:xfrm>
        <a:prstGeom prst="rect">
          <a:avLst/>
        </a:prstGeom>
      </xdr:spPr>
    </xdr:pic>
    <xdr:clientData/>
  </xdr:twoCellAnchor>
  <xdr:twoCellAnchor editAs="oneCell">
    <xdr:from>
      <xdr:col>14</xdr:col>
      <xdr:colOff>285750</xdr:colOff>
      <xdr:row>26</xdr:row>
      <xdr:rowOff>47625</xdr:rowOff>
    </xdr:from>
    <xdr:to>
      <xdr:col>25</xdr:col>
      <xdr:colOff>239054</xdr:colOff>
      <xdr:row>44</xdr:row>
      <xdr:rowOff>95735</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4725650" y="5000625"/>
          <a:ext cx="6658904" cy="3477110"/>
        </a:xfrm>
        <a:prstGeom prst="rect">
          <a:avLst/>
        </a:prstGeom>
      </xdr:spPr>
    </xdr:pic>
    <xdr:clientData/>
  </xdr:twoCellAnchor>
  <xdr:twoCellAnchor editAs="oneCell">
    <xdr:from>
      <xdr:col>5</xdr:col>
      <xdr:colOff>38100</xdr:colOff>
      <xdr:row>44</xdr:row>
      <xdr:rowOff>180976</xdr:rowOff>
    </xdr:from>
    <xdr:to>
      <xdr:col>21</xdr:col>
      <xdr:colOff>535321</xdr:colOff>
      <xdr:row>69</xdr:row>
      <xdr:rowOff>31766</xdr:rowOff>
    </xdr:to>
    <xdr:pic>
      <xdr:nvPicPr>
        <xdr:cNvPr id="8" name="Picture 7">
          <a:extLst>
            <a:ext uri="{FF2B5EF4-FFF2-40B4-BE49-F238E27FC236}">
              <a16:creationId xmlns:a16="http://schemas.microsoft.com/office/drawing/2014/main" id="{4F83CC02-4910-4D33-2FF5-7F09EC450591}"/>
            </a:ext>
          </a:extLst>
        </xdr:cNvPr>
        <xdr:cNvPicPr>
          <a:picLocks noChangeAspect="1"/>
        </xdr:cNvPicPr>
      </xdr:nvPicPr>
      <xdr:blipFill>
        <a:blip xmlns:r="http://schemas.openxmlformats.org/officeDocument/2006/relationships" r:embed="rId7"/>
        <a:stretch>
          <a:fillRect/>
        </a:stretch>
      </xdr:blipFill>
      <xdr:spPr>
        <a:xfrm>
          <a:off x="8991600" y="8562976"/>
          <a:ext cx="10946146" cy="4613290"/>
        </a:xfrm>
        <a:prstGeom prst="rect">
          <a:avLst/>
        </a:prstGeom>
      </xdr:spPr>
    </xdr:pic>
    <xdr:clientData/>
  </xdr:twoCellAnchor>
  <xdr:twoCellAnchor editAs="oneCell">
    <xdr:from>
      <xdr:col>5</xdr:col>
      <xdr:colOff>0</xdr:colOff>
      <xdr:row>72</xdr:row>
      <xdr:rowOff>0</xdr:rowOff>
    </xdr:from>
    <xdr:to>
      <xdr:col>16</xdr:col>
      <xdr:colOff>343981</xdr:colOff>
      <xdr:row>88</xdr:row>
      <xdr:rowOff>67110</xdr:rowOff>
    </xdr:to>
    <xdr:pic>
      <xdr:nvPicPr>
        <xdr:cNvPr id="9" name="Picture 8">
          <a:extLst>
            <a:ext uri="{FF2B5EF4-FFF2-40B4-BE49-F238E27FC236}">
              <a16:creationId xmlns:a16="http://schemas.microsoft.com/office/drawing/2014/main" id="{464B1516-2452-EFCB-E4EE-3B171DFCF273}"/>
            </a:ext>
          </a:extLst>
        </xdr:cNvPr>
        <xdr:cNvPicPr>
          <a:picLocks noChangeAspect="1"/>
        </xdr:cNvPicPr>
      </xdr:nvPicPr>
      <xdr:blipFill>
        <a:blip xmlns:r="http://schemas.openxmlformats.org/officeDocument/2006/relationships" r:embed="rId8"/>
        <a:stretch>
          <a:fillRect/>
        </a:stretch>
      </xdr:blipFill>
      <xdr:spPr>
        <a:xfrm>
          <a:off x="8953500" y="13525500"/>
          <a:ext cx="7744906" cy="3115110"/>
        </a:xfrm>
        <a:prstGeom prst="rect">
          <a:avLst/>
        </a:prstGeom>
      </xdr:spPr>
    </xdr:pic>
    <xdr:clientData/>
  </xdr:twoCellAnchor>
  <xdr:twoCellAnchor editAs="oneCell">
    <xdr:from>
      <xdr:col>1</xdr:col>
      <xdr:colOff>1</xdr:colOff>
      <xdr:row>45</xdr:row>
      <xdr:rowOff>1</xdr:rowOff>
    </xdr:from>
    <xdr:to>
      <xdr:col>4</xdr:col>
      <xdr:colOff>831727</xdr:colOff>
      <xdr:row>64</xdr:row>
      <xdr:rowOff>158751</xdr:rowOff>
    </xdr:to>
    <xdr:pic>
      <xdr:nvPicPr>
        <xdr:cNvPr id="10" name="Picture 9">
          <a:extLst>
            <a:ext uri="{FF2B5EF4-FFF2-40B4-BE49-F238E27FC236}">
              <a16:creationId xmlns:a16="http://schemas.microsoft.com/office/drawing/2014/main" id="{54A4AE74-0B66-1AC2-D3BC-92F7CBE58FED}"/>
            </a:ext>
          </a:extLst>
        </xdr:cNvPr>
        <xdr:cNvPicPr>
          <a:picLocks noChangeAspect="1"/>
        </xdr:cNvPicPr>
      </xdr:nvPicPr>
      <xdr:blipFill>
        <a:blip xmlns:r="http://schemas.openxmlformats.org/officeDocument/2006/relationships" r:embed="rId9"/>
        <a:stretch>
          <a:fillRect/>
        </a:stretch>
      </xdr:blipFill>
      <xdr:spPr>
        <a:xfrm>
          <a:off x="609601" y="8286751"/>
          <a:ext cx="8254876" cy="3657600"/>
        </a:xfrm>
        <a:prstGeom prst="rect">
          <a:avLst/>
        </a:prstGeom>
      </xdr:spPr>
    </xdr:pic>
    <xdr:clientData/>
  </xdr:twoCellAnchor>
  <xdr:twoCellAnchor editAs="oneCell">
    <xdr:from>
      <xdr:col>1</xdr:col>
      <xdr:colOff>317501</xdr:colOff>
      <xdr:row>72</xdr:row>
      <xdr:rowOff>82551</xdr:rowOff>
    </xdr:from>
    <xdr:to>
      <xdr:col>3</xdr:col>
      <xdr:colOff>3244851</xdr:colOff>
      <xdr:row>91</xdr:row>
      <xdr:rowOff>96985</xdr:rowOff>
    </xdr:to>
    <xdr:pic>
      <xdr:nvPicPr>
        <xdr:cNvPr id="12" name="Picture 11">
          <a:extLst>
            <a:ext uri="{FF2B5EF4-FFF2-40B4-BE49-F238E27FC236}">
              <a16:creationId xmlns:a16="http://schemas.microsoft.com/office/drawing/2014/main" id="{8E4B931E-1F89-1D10-440C-DFDD6908CC57}"/>
            </a:ext>
          </a:extLst>
        </xdr:cNvPr>
        <xdr:cNvPicPr>
          <a:picLocks noChangeAspect="1"/>
        </xdr:cNvPicPr>
      </xdr:nvPicPr>
      <xdr:blipFill>
        <a:blip xmlns:r="http://schemas.openxmlformats.org/officeDocument/2006/relationships" r:embed="rId10"/>
        <a:stretch>
          <a:fillRect/>
        </a:stretch>
      </xdr:blipFill>
      <xdr:spPr>
        <a:xfrm>
          <a:off x="927101" y="13341351"/>
          <a:ext cx="6737350" cy="351328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6</xdr:row>
      <xdr:rowOff>85725</xdr:rowOff>
    </xdr:from>
    <xdr:to>
      <xdr:col>16</xdr:col>
      <xdr:colOff>345022</xdr:colOff>
      <xdr:row>33</xdr:row>
      <xdr:rowOff>95969</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685800" y="1419225"/>
          <a:ext cx="15204022" cy="515374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228600</xdr:colOff>
      <xdr:row>6</xdr:row>
      <xdr:rowOff>133350</xdr:rowOff>
    </xdr:from>
    <xdr:to>
      <xdr:col>9</xdr:col>
      <xdr:colOff>553577</xdr:colOff>
      <xdr:row>46</xdr:row>
      <xdr:rowOff>182045</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xdr:colOff>
      <xdr:row>5</xdr:row>
      <xdr:rowOff>66675</xdr:rowOff>
    </xdr:from>
    <xdr:to>
      <xdr:col>7</xdr:col>
      <xdr:colOff>563193</xdr:colOff>
      <xdr:row>35</xdr:row>
      <xdr:rowOff>76999</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19125" y="1019175"/>
          <a:ext cx="8726118" cy="572532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3489325</xdr:colOff>
      <xdr:row>7</xdr:row>
      <xdr:rowOff>161925</xdr:rowOff>
    </xdr:from>
    <xdr:to>
      <xdr:col>11</xdr:col>
      <xdr:colOff>287851</xdr:colOff>
      <xdr:row>37</xdr:row>
      <xdr:rowOff>123115</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8969375" y="1450975"/>
          <a:ext cx="8977826" cy="5485690"/>
        </a:xfrm>
        <a:prstGeom prst="rect">
          <a:avLst/>
        </a:prstGeom>
      </xdr:spPr>
    </xdr:pic>
    <xdr:clientData/>
  </xdr:twoCellAnchor>
  <xdr:twoCellAnchor editAs="oneCell">
    <xdr:from>
      <xdr:col>1</xdr:col>
      <xdr:colOff>279401</xdr:colOff>
      <xdr:row>7</xdr:row>
      <xdr:rowOff>19051</xdr:rowOff>
    </xdr:from>
    <xdr:to>
      <xdr:col>3</xdr:col>
      <xdr:colOff>3013076</xdr:colOff>
      <xdr:row>28</xdr:row>
      <xdr:rowOff>171241</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889001" y="1308101"/>
          <a:ext cx="7604125" cy="4019340"/>
        </a:xfrm>
        <a:prstGeom prst="rect">
          <a:avLst/>
        </a:prstGeom>
      </xdr:spPr>
    </xdr:pic>
    <xdr:clientData/>
  </xdr:twoCellAnchor>
  <xdr:twoCellAnchor editAs="oneCell">
    <xdr:from>
      <xdr:col>0</xdr:col>
      <xdr:colOff>98425</xdr:colOff>
      <xdr:row>28</xdr:row>
      <xdr:rowOff>98425</xdr:rowOff>
    </xdr:from>
    <xdr:to>
      <xdr:col>3</xdr:col>
      <xdr:colOff>3128536</xdr:colOff>
      <xdr:row>47</xdr:row>
      <xdr:rowOff>156088</xdr:rowOff>
    </xdr:to>
    <xdr:pic>
      <xdr:nvPicPr>
        <xdr:cNvPr id="4" name="Picture 3">
          <a:extLst>
            <a:ext uri="{FF2B5EF4-FFF2-40B4-BE49-F238E27FC236}">
              <a16:creationId xmlns:a16="http://schemas.microsoft.com/office/drawing/2014/main" id="{7DD3C652-66C0-ADF6-4965-550694B3C3D9}"/>
            </a:ext>
          </a:extLst>
        </xdr:cNvPr>
        <xdr:cNvPicPr>
          <a:picLocks noChangeAspect="1"/>
        </xdr:cNvPicPr>
      </xdr:nvPicPr>
      <xdr:blipFill>
        <a:blip xmlns:r="http://schemas.openxmlformats.org/officeDocument/2006/relationships" r:embed="rId3"/>
        <a:stretch>
          <a:fillRect/>
        </a:stretch>
      </xdr:blipFill>
      <xdr:spPr>
        <a:xfrm>
          <a:off x="98425" y="5254625"/>
          <a:ext cx="8510161" cy="3556513"/>
        </a:xfrm>
        <a:prstGeom prst="rect">
          <a:avLst/>
        </a:prstGeom>
      </xdr:spPr>
    </xdr:pic>
    <xdr:clientData/>
  </xdr:twoCellAnchor>
  <xdr:twoCellAnchor editAs="oneCell">
    <xdr:from>
      <xdr:col>3</xdr:col>
      <xdr:colOff>3587750</xdr:colOff>
      <xdr:row>35</xdr:row>
      <xdr:rowOff>139700</xdr:rowOff>
    </xdr:from>
    <xdr:to>
      <xdr:col>5</xdr:col>
      <xdr:colOff>592507</xdr:colOff>
      <xdr:row>48</xdr:row>
      <xdr:rowOff>63296</xdr:rowOff>
    </xdr:to>
    <xdr:pic>
      <xdr:nvPicPr>
        <xdr:cNvPr id="5" name="Picture 4">
          <a:extLst>
            <a:ext uri="{FF2B5EF4-FFF2-40B4-BE49-F238E27FC236}">
              <a16:creationId xmlns:a16="http://schemas.microsoft.com/office/drawing/2014/main" id="{3910024E-80B8-8FDB-6EDA-E5B0B61EA94E}"/>
            </a:ext>
          </a:extLst>
        </xdr:cNvPr>
        <xdr:cNvPicPr>
          <a:picLocks noChangeAspect="1"/>
        </xdr:cNvPicPr>
      </xdr:nvPicPr>
      <xdr:blipFill>
        <a:blip xmlns:r="http://schemas.openxmlformats.org/officeDocument/2006/relationships" r:embed="rId4"/>
        <a:stretch>
          <a:fillRect/>
        </a:stretch>
      </xdr:blipFill>
      <xdr:spPr>
        <a:xfrm>
          <a:off x="9067800" y="6584950"/>
          <a:ext cx="5526457" cy="23175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400050</xdr:colOff>
      <xdr:row>9</xdr:row>
      <xdr:rowOff>38100</xdr:rowOff>
    </xdr:from>
    <xdr:to>
      <xdr:col>3</xdr:col>
      <xdr:colOff>105932</xdr:colOff>
      <xdr:row>45</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520700</xdr:colOff>
      <xdr:row>9</xdr:row>
      <xdr:rowOff>361950</xdr:rowOff>
    </xdr:from>
    <xdr:to>
      <xdr:col>26</xdr:col>
      <xdr:colOff>557652</xdr:colOff>
      <xdr:row>15</xdr:row>
      <xdr:rowOff>37726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16</xdr:col>
      <xdr:colOff>374650</xdr:colOff>
      <xdr:row>20</xdr:row>
      <xdr:rowOff>38100</xdr:rowOff>
    </xdr:from>
    <xdr:to>
      <xdr:col>27</xdr:col>
      <xdr:colOff>164288</xdr:colOff>
      <xdr:row>47</xdr:row>
      <xdr:rowOff>91507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xdr:col>
      <xdr:colOff>2657475</xdr:colOff>
      <xdr:row>33</xdr:row>
      <xdr:rowOff>180975</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36</xdr:row>
      <xdr:rowOff>104776</xdr:rowOff>
    </xdr:from>
    <xdr:to>
      <xdr:col>2</xdr:col>
      <xdr:colOff>2008345</xdr:colOff>
      <xdr:row>59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2</xdr:col>
      <xdr:colOff>3590925</xdr:colOff>
      <xdr:row>35</xdr:row>
      <xdr:rowOff>28575</xdr:rowOff>
    </xdr:from>
    <xdr:to>
      <xdr:col>9</xdr:col>
      <xdr:colOff>590550</xdr:colOff>
      <xdr:row>62</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057900" y="6696075"/>
          <a:ext cx="7000875" cy="5246775"/>
        </a:xfrm>
        <a:prstGeom prst="rect">
          <a:avLst/>
        </a:prstGeom>
      </xdr:spPr>
    </xdr:pic>
    <xdr:clientData/>
  </xdr:twoCellAnchor>
  <xdr:twoCellAnchor editAs="oneCell">
    <xdr:from>
      <xdr:col>3</xdr:col>
      <xdr:colOff>104775</xdr:colOff>
      <xdr:row>12</xdr:row>
      <xdr:rowOff>161925</xdr:rowOff>
    </xdr:from>
    <xdr:to>
      <xdr:col>15</xdr:col>
      <xdr:colOff>97418</xdr:colOff>
      <xdr:row>31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6315075" y="2447925"/>
          <a:ext cx="10498718" cy="3482407"/>
        </a:xfrm>
        <a:prstGeom prst="rect">
          <a:avLst/>
        </a:prstGeom>
      </xdr:spPr>
    </xdr:pic>
    <xdr:clientData/>
  </xdr:twoCellAnchor>
  <xdr:twoCellAnchor editAs="oneCell">
    <xdr:from>
      <xdr:col>2</xdr:col>
      <xdr:colOff>3514725</xdr:colOff>
      <xdr:row>63</xdr:row>
      <xdr:rowOff>142875</xdr:rowOff>
    </xdr:from>
    <xdr:to>
      <xdr:col>13</xdr:col>
      <xdr:colOff>1125353</xdr:colOff>
      <xdr:row>83</xdr:row>
      <xdr:rowOff>124354</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5981700" y="12144375"/>
          <a:ext cx="10050278" cy="3791479"/>
        </a:xfrm>
        <a:prstGeom prst="rect">
          <a:avLst/>
        </a:prstGeom>
      </xdr:spPr>
    </xdr:pic>
    <xdr:clientData/>
  </xdr:twoCellAnchor>
  <xdr:twoCellAnchor editAs="oneCell">
    <xdr:from>
      <xdr:col>0</xdr:col>
      <xdr:colOff>44451</xdr:colOff>
      <xdr:row>65</xdr:row>
      <xdr:rowOff>12700</xdr:rowOff>
    </xdr:from>
    <xdr:to>
      <xdr:col>2</xdr:col>
      <xdr:colOff>2762251</xdr:colOff>
      <xdr:row>75</xdr:row>
      <xdr:rowOff>146105</xdr:rowOff>
    </xdr:to>
    <xdr:pic>
      <xdr:nvPicPr>
        <xdr:cNvPr id="7" name="Picture 6">
          <a:extLst>
            <a:ext uri="{FF2B5EF4-FFF2-40B4-BE49-F238E27FC236}">
              <a16:creationId xmlns:a16="http://schemas.microsoft.com/office/drawing/2014/main" id="{230DA720-C909-3271-3A2B-0C69B812444F}"/>
            </a:ext>
          </a:extLst>
        </xdr:cNvPr>
        <xdr:cNvPicPr>
          <a:picLocks noChangeAspect="1"/>
        </xdr:cNvPicPr>
      </xdr:nvPicPr>
      <xdr:blipFill>
        <a:blip xmlns:r="http://schemas.openxmlformats.org/officeDocument/2006/relationships" r:embed="rId6"/>
        <a:stretch>
          <a:fillRect/>
        </a:stretch>
      </xdr:blipFill>
      <xdr:spPr>
        <a:xfrm>
          <a:off x="44451" y="11982450"/>
          <a:ext cx="6521450" cy="197490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24</xdr:row>
      <xdr:rowOff>6350</xdr:rowOff>
    </xdr:from>
    <xdr:to>
      <xdr:col>1</xdr:col>
      <xdr:colOff>2269562</xdr:colOff>
      <xdr:row>56</xdr:row>
      <xdr:rowOff>18312</xdr:rowOff>
    </xdr:to>
    <xdr:pic>
      <xdr:nvPicPr>
        <xdr:cNvPr id="4" name="Picture 3">
          <a:extLst>
            <a:ext uri="{FF2B5EF4-FFF2-40B4-BE49-F238E27FC236}">
              <a16:creationId xmlns:a16="http://schemas.microsoft.com/office/drawing/2014/main" id="{33235E3E-B172-42B1-075C-1BE40320C6F9}"/>
            </a:ext>
          </a:extLst>
        </xdr:cNvPr>
        <xdr:cNvPicPr>
          <a:picLocks noChangeAspect="1"/>
        </xdr:cNvPicPr>
      </xdr:nvPicPr>
      <xdr:blipFill>
        <a:blip xmlns:r="http://schemas.openxmlformats.org/officeDocument/2006/relationships" r:embed="rId1"/>
        <a:stretch>
          <a:fillRect/>
        </a:stretch>
      </xdr:blipFill>
      <xdr:spPr>
        <a:xfrm>
          <a:off x="114300" y="9766300"/>
          <a:ext cx="4504762" cy="5904762"/>
        </a:xfrm>
        <a:prstGeom prst="rect">
          <a:avLst/>
        </a:prstGeom>
      </xdr:spPr>
    </xdr:pic>
    <xdr:clientData/>
  </xdr:twoCellAnchor>
  <xdr:twoCellAnchor editAs="oneCell">
    <xdr:from>
      <xdr:col>0</xdr:col>
      <xdr:colOff>0</xdr:colOff>
      <xdr:row>54</xdr:row>
      <xdr:rowOff>158750</xdr:rowOff>
    </xdr:from>
    <xdr:to>
      <xdr:col>1</xdr:col>
      <xdr:colOff>2021929</xdr:colOff>
      <xdr:row>65</xdr:row>
      <xdr:rowOff>18814</xdr:rowOff>
    </xdr:to>
    <xdr:pic>
      <xdr:nvPicPr>
        <xdr:cNvPr id="5" name="Picture 4">
          <a:extLst>
            <a:ext uri="{FF2B5EF4-FFF2-40B4-BE49-F238E27FC236}">
              <a16:creationId xmlns:a16="http://schemas.microsoft.com/office/drawing/2014/main" id="{584B6C7D-F2CD-0847-3CA0-2AFFC9BAEF59}"/>
            </a:ext>
          </a:extLst>
        </xdr:cNvPr>
        <xdr:cNvPicPr>
          <a:picLocks noChangeAspect="1"/>
        </xdr:cNvPicPr>
      </xdr:nvPicPr>
      <xdr:blipFill>
        <a:blip xmlns:r="http://schemas.openxmlformats.org/officeDocument/2006/relationships" r:embed="rId2"/>
        <a:stretch>
          <a:fillRect/>
        </a:stretch>
      </xdr:blipFill>
      <xdr:spPr>
        <a:xfrm>
          <a:off x="0" y="15443200"/>
          <a:ext cx="4371429" cy="18857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581026</xdr:colOff>
      <xdr:row>6</xdr:row>
      <xdr:rowOff>28575</xdr:rowOff>
    </xdr:from>
    <xdr:to>
      <xdr:col>4</xdr:col>
      <xdr:colOff>3133726</xdr:colOff>
      <xdr:row>32</xdr:row>
      <xdr:rowOff>22173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581026" y="1133475"/>
          <a:ext cx="7854950" cy="4781498"/>
        </a:xfrm>
        <a:prstGeom prst="rect">
          <a:avLst/>
        </a:prstGeom>
      </xdr:spPr>
    </xdr:pic>
    <xdr:clientData/>
  </xdr:twoCellAnchor>
  <xdr:twoCellAnchor editAs="oneCell">
    <xdr:from>
      <xdr:col>7</xdr:col>
      <xdr:colOff>6350</xdr:colOff>
      <xdr:row>6</xdr:row>
      <xdr:rowOff>69850</xdr:rowOff>
    </xdr:from>
    <xdr:to>
      <xdr:col>29</xdr:col>
      <xdr:colOff>484538</xdr:colOff>
      <xdr:row>29</xdr:row>
      <xdr:rowOff>108567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8699500" y="1174750"/>
          <a:ext cx="13889388" cy="42741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507999</xdr:colOff>
      <xdr:row>6</xdr:row>
      <xdr:rowOff>126998</xdr:rowOff>
    </xdr:from>
    <xdr:to>
      <xdr:col>3</xdr:col>
      <xdr:colOff>2681770</xdr:colOff>
      <xdr:row>28</xdr:row>
      <xdr:rowOff>183275</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4801576" y="1269998"/>
          <a:ext cx="5859213" cy="4253627"/>
        </a:xfrm>
        <a:prstGeom prst="rect">
          <a:avLst/>
        </a:prstGeom>
      </xdr:spPr>
    </xdr:pic>
    <xdr:clientData/>
  </xdr:twoCellAnchor>
  <xdr:twoCellAnchor editAs="oneCell">
    <xdr:from>
      <xdr:col>2</xdr:col>
      <xdr:colOff>632558</xdr:colOff>
      <xdr:row>26</xdr:row>
      <xdr:rowOff>12698</xdr:rowOff>
    </xdr:from>
    <xdr:to>
      <xdr:col>3</xdr:col>
      <xdr:colOff>3054990</xdr:colOff>
      <xdr:row>45</xdr:row>
      <xdr:rowOff>79888</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4926135" y="4965698"/>
          <a:ext cx="6107874" cy="3686690"/>
        </a:xfrm>
        <a:prstGeom prst="rect">
          <a:avLst/>
        </a:prstGeom>
      </xdr:spPr>
    </xdr:pic>
    <xdr:clientData/>
  </xdr:twoCellAnchor>
  <xdr:twoCellAnchor editAs="oneCell">
    <xdr:from>
      <xdr:col>0</xdr:col>
      <xdr:colOff>0</xdr:colOff>
      <xdr:row>5</xdr:row>
      <xdr:rowOff>59348</xdr:rowOff>
    </xdr:from>
    <xdr:to>
      <xdr:col>2</xdr:col>
      <xdr:colOff>330122</xdr:colOff>
      <xdr:row>44</xdr:row>
      <xdr:rowOff>14654</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1173040"/>
          <a:ext cx="4799545" cy="7194306"/>
        </a:xfrm>
        <a:prstGeom prst="rect">
          <a:avLst/>
        </a:prstGeom>
      </xdr:spPr>
    </xdr:pic>
    <xdr:clientData/>
  </xdr:twoCellAnchor>
  <xdr:twoCellAnchor editAs="oneCell">
    <xdr:from>
      <xdr:col>3</xdr:col>
      <xdr:colOff>3073156</xdr:colOff>
      <xdr:row>7</xdr:row>
      <xdr:rowOff>111123</xdr:rowOff>
    </xdr:from>
    <xdr:to>
      <xdr:col>8</xdr:col>
      <xdr:colOff>323265</xdr:colOff>
      <xdr:row>14</xdr:row>
      <xdr:rowOff>111311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1401425" y="1410431"/>
          <a:ext cx="6325725" cy="1299495"/>
        </a:xfrm>
        <a:prstGeom prst="rect">
          <a:avLst/>
        </a:prstGeom>
      </xdr:spPr>
    </xdr:pic>
    <xdr:clientData/>
  </xdr:twoCellAnchor>
  <xdr:twoCellAnchor editAs="oneCell">
    <xdr:from>
      <xdr:col>0</xdr:col>
      <xdr:colOff>0</xdr:colOff>
      <xdr:row>45</xdr:row>
      <xdr:rowOff>1955</xdr:rowOff>
    </xdr:from>
    <xdr:to>
      <xdr:col>2</xdr:col>
      <xdr:colOff>626160</xdr:colOff>
      <xdr:row>75</xdr:row>
      <xdr:rowOff>131236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0" y="8354647"/>
          <a:ext cx="5095583" cy="5697743"/>
        </a:xfrm>
        <a:prstGeom prst="rect">
          <a:avLst/>
        </a:prstGeom>
      </xdr:spPr>
    </xdr:pic>
    <xdr:clientData/>
  </xdr:twoCellAnchor>
  <xdr:twoCellAnchor editAs="oneCell">
    <xdr:from>
      <xdr:col>2</xdr:col>
      <xdr:colOff>307731</xdr:colOff>
      <xdr:row>46</xdr:row>
      <xdr:rowOff>112346</xdr:rowOff>
    </xdr:from>
    <xdr:to>
      <xdr:col>4</xdr:col>
      <xdr:colOff>1033809</xdr:colOff>
      <xdr:row>62</xdr:row>
      <xdr:rowOff>123452</xdr:rowOff>
    </xdr:to>
    <xdr:pic>
      <xdr:nvPicPr>
        <xdr:cNvPr id="7" name="Picture 6">
          <a:extLst>
            <a:ext uri="{FF2B5EF4-FFF2-40B4-BE49-F238E27FC236}">
              <a16:creationId xmlns:a16="http://schemas.microsoft.com/office/drawing/2014/main" id="{3CED26EF-5EA0-CA9C-FA58-53A0B31C2973}"/>
            </a:ext>
          </a:extLst>
        </xdr:cNvPr>
        <xdr:cNvPicPr>
          <a:picLocks noChangeAspect="1"/>
        </xdr:cNvPicPr>
      </xdr:nvPicPr>
      <xdr:blipFill>
        <a:blip xmlns:r="http://schemas.openxmlformats.org/officeDocument/2006/relationships" r:embed="rId6"/>
        <a:stretch>
          <a:fillRect/>
        </a:stretch>
      </xdr:blipFill>
      <xdr:spPr>
        <a:xfrm>
          <a:off x="4777154" y="8650654"/>
          <a:ext cx="9923809" cy="29809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666751</xdr:colOff>
      <xdr:row>8</xdr:row>
      <xdr:rowOff>119338</xdr:rowOff>
    </xdr:from>
    <xdr:to>
      <xdr:col>4</xdr:col>
      <xdr:colOff>500946</xdr:colOff>
      <xdr:row>41</xdr:row>
      <xdr:rowOff>40990</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7810501" y="1833838"/>
          <a:ext cx="6374695" cy="6208152"/>
        </a:xfrm>
        <a:prstGeom prst="rect">
          <a:avLst/>
        </a:prstGeom>
      </xdr:spPr>
    </xdr:pic>
    <xdr:clientData/>
  </xdr:twoCellAnchor>
  <xdr:twoCellAnchor editAs="oneCell">
    <xdr:from>
      <xdr:col>0</xdr:col>
      <xdr:colOff>398638</xdr:colOff>
      <xdr:row>11</xdr:row>
      <xdr:rowOff>142485</xdr:rowOff>
    </xdr:from>
    <xdr:to>
      <xdr:col>2</xdr:col>
      <xdr:colOff>1133824</xdr:colOff>
      <xdr:row>32</xdr:row>
      <xdr:rowOff>10583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398638" y="2428485"/>
          <a:ext cx="7878936" cy="3868598"/>
        </a:xfrm>
        <a:prstGeom prst="rect">
          <a:avLst/>
        </a:prstGeom>
      </xdr:spPr>
    </xdr:pic>
    <xdr:clientData/>
  </xdr:twoCellAnchor>
  <xdr:twoCellAnchor editAs="oneCell">
    <xdr:from>
      <xdr:col>2</xdr:col>
      <xdr:colOff>1227650</xdr:colOff>
      <xdr:row>41</xdr:row>
      <xdr:rowOff>7056</xdr:rowOff>
    </xdr:from>
    <xdr:to>
      <xdr:col>4</xdr:col>
      <xdr:colOff>1235607</xdr:colOff>
      <xdr:row>81</xdr:row>
      <xdr:rowOff>154993</xdr:rowOff>
    </xdr:to>
    <xdr:pic>
      <xdr:nvPicPr>
        <xdr:cNvPr id="4" name="Picture 3">
          <a:extLst>
            <a:ext uri="{FF2B5EF4-FFF2-40B4-BE49-F238E27FC236}">
              <a16:creationId xmlns:a16="http://schemas.microsoft.com/office/drawing/2014/main" id="{B5E68E5C-48D3-BB78-DE60-9E6E9C3E51A9}"/>
            </a:ext>
          </a:extLst>
        </xdr:cNvPr>
        <xdr:cNvPicPr>
          <a:picLocks noChangeAspect="1"/>
        </xdr:cNvPicPr>
      </xdr:nvPicPr>
      <xdr:blipFill>
        <a:blip xmlns:r="http://schemas.openxmlformats.org/officeDocument/2006/relationships" r:embed="rId3"/>
        <a:stretch>
          <a:fillRect/>
        </a:stretch>
      </xdr:blipFill>
      <xdr:spPr>
        <a:xfrm>
          <a:off x="8664206" y="7711723"/>
          <a:ext cx="6851845" cy="7485714"/>
        </a:xfrm>
        <a:prstGeom prst="rect">
          <a:avLst/>
        </a:prstGeom>
      </xdr:spPr>
    </xdr:pic>
    <xdr:clientData/>
  </xdr:twoCellAnchor>
  <xdr:twoCellAnchor editAs="oneCell">
    <xdr:from>
      <xdr:col>1</xdr:col>
      <xdr:colOff>0</xdr:colOff>
      <xdr:row>34</xdr:row>
      <xdr:rowOff>0</xdr:rowOff>
    </xdr:from>
    <xdr:to>
      <xdr:col>2</xdr:col>
      <xdr:colOff>103555</xdr:colOff>
      <xdr:row>49</xdr:row>
      <xdr:rowOff>67382</xdr:rowOff>
    </xdr:to>
    <xdr:pic>
      <xdr:nvPicPr>
        <xdr:cNvPr id="5" name="Picture 4">
          <a:extLst>
            <a:ext uri="{FF2B5EF4-FFF2-40B4-BE49-F238E27FC236}">
              <a16:creationId xmlns:a16="http://schemas.microsoft.com/office/drawing/2014/main" id="{8E43EAD1-FA9A-48C0-1151-33E21CC4E993}"/>
            </a:ext>
          </a:extLst>
        </xdr:cNvPr>
        <xdr:cNvPicPr>
          <a:picLocks noChangeAspect="1"/>
        </xdr:cNvPicPr>
      </xdr:nvPicPr>
      <xdr:blipFill>
        <a:blip xmlns:r="http://schemas.openxmlformats.org/officeDocument/2006/relationships" r:embed="rId4"/>
        <a:stretch>
          <a:fillRect/>
        </a:stretch>
      </xdr:blipFill>
      <xdr:spPr>
        <a:xfrm>
          <a:off x="606778" y="6420556"/>
          <a:ext cx="6933333" cy="28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393700</xdr:colOff>
      <xdr:row>4</xdr:row>
      <xdr:rowOff>149225</xdr:rowOff>
    </xdr:from>
    <xdr:to>
      <xdr:col>4</xdr:col>
      <xdr:colOff>3562350</xdr:colOff>
      <xdr:row>39</xdr:row>
      <xdr:rowOff>27596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393700" y="885825"/>
          <a:ext cx="9058275" cy="63236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7</xdr:row>
      <xdr:rowOff>66675</xdr:rowOff>
    </xdr:from>
    <xdr:to>
      <xdr:col>2</xdr:col>
      <xdr:colOff>2608674</xdr:colOff>
      <xdr:row>42</xdr:row>
      <xdr:rowOff>180127</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638175" y="1762125"/>
          <a:ext cx="9409524" cy="6780952"/>
        </a:xfrm>
        <a:prstGeom prst="rect">
          <a:avLst/>
        </a:prstGeom>
      </xdr:spPr>
    </xdr:pic>
    <xdr:clientData/>
  </xdr:twoCellAnchor>
  <xdr:twoCellAnchor editAs="oneCell">
    <xdr:from>
      <xdr:col>2</xdr:col>
      <xdr:colOff>3105150</xdr:colOff>
      <xdr:row>9</xdr:row>
      <xdr:rowOff>95250</xdr:rowOff>
    </xdr:from>
    <xdr:to>
      <xdr:col>5</xdr:col>
      <xdr:colOff>1513277</xdr:colOff>
      <xdr:row>37</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10544175" y="2171700"/>
          <a:ext cx="9580952" cy="5390476"/>
        </a:xfrm>
        <a:prstGeom prst="rect">
          <a:avLst/>
        </a:prstGeom>
      </xdr:spPr>
    </xdr:pic>
    <xdr:clientData/>
  </xdr:twoCellAnchor>
  <xdr:twoCellAnchor editAs="oneCell">
    <xdr:from>
      <xdr:col>0</xdr:col>
      <xdr:colOff>463550</xdr:colOff>
      <xdr:row>42</xdr:row>
      <xdr:rowOff>120650</xdr:rowOff>
    </xdr:from>
    <xdr:to>
      <xdr:col>2</xdr:col>
      <xdr:colOff>2769960</xdr:colOff>
      <xdr:row>78</xdr:row>
      <xdr:rowOff>32694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463550" y="8223250"/>
          <a:ext cx="10072460" cy="6541444"/>
        </a:xfrm>
        <a:prstGeom prst="rect">
          <a:avLst/>
        </a:prstGeom>
      </xdr:spPr>
    </xdr:pic>
    <xdr:clientData/>
  </xdr:twoCellAnchor>
  <xdr:twoCellAnchor editAs="oneCell">
    <xdr:from>
      <xdr:col>3</xdr:col>
      <xdr:colOff>0</xdr:colOff>
      <xdr:row>43</xdr:row>
      <xdr:rowOff>0</xdr:rowOff>
    </xdr:from>
    <xdr:to>
      <xdr:col>5</xdr:col>
      <xdr:colOff>973590</xdr:colOff>
      <xdr:row>72</xdr:row>
      <xdr:rowOff>2507</xdr:rowOff>
    </xdr:to>
    <xdr:pic>
      <xdr:nvPicPr>
        <xdr:cNvPr id="5" name="Picture 4">
          <a:extLst>
            <a:ext uri="{FF2B5EF4-FFF2-40B4-BE49-F238E27FC236}">
              <a16:creationId xmlns:a16="http://schemas.microsoft.com/office/drawing/2014/main" id="{0808E0AC-42E6-29FF-A62D-4D65269F8FE9}"/>
            </a:ext>
          </a:extLst>
        </xdr:cNvPr>
        <xdr:cNvPicPr>
          <a:picLocks noChangeAspect="1"/>
        </xdr:cNvPicPr>
      </xdr:nvPicPr>
      <xdr:blipFill>
        <a:blip xmlns:r="http://schemas.openxmlformats.org/officeDocument/2006/relationships" r:embed="rId4"/>
        <a:stretch>
          <a:fillRect/>
        </a:stretch>
      </xdr:blipFill>
      <xdr:spPr>
        <a:xfrm>
          <a:off x="11366500" y="8293100"/>
          <a:ext cx="9076190" cy="53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514350</xdr:colOff>
      <xdr:row>3</xdr:row>
      <xdr:rowOff>133350</xdr:rowOff>
    </xdr:from>
    <xdr:to>
      <xdr:col>13</xdr:col>
      <xdr:colOff>97013</xdr:colOff>
      <xdr:row>38</xdr:row>
      <xdr:rowOff>86649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14350" y="895350"/>
          <a:ext cx="12631913" cy="662079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link.springer.com/article/10.1007/s11523-017-0517-2" TargetMode="External"/><Relationship Id="rId1" Type="http://schemas.openxmlformats.org/officeDocument/2006/relationships/hyperlink" Target="https://www.nice.org.uk/guidance/ta347"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4.bin"/><Relationship Id="rId1" Type="http://schemas.openxmlformats.org/officeDocument/2006/relationships/hyperlink" Target="https://www.nice.org.uk/guidance/ta366/documents/committee-papers" TargetMode="Externa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www.nice.org.uk/guidance/ta374/documents/final-appraisal-determination-document-2" TargetMode="External"/><Relationship Id="rId1" Type="http://schemas.openxmlformats.org/officeDocument/2006/relationships/hyperlink" Target="https://www.nice.org.uk/guidance/ta374/documents/committee-paper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https://www.nice.org.uk/guidance/ta384/documents/final-appraisal-determination-document" TargetMode="External"/><Relationship Id="rId1" Type="http://schemas.openxmlformats.org/officeDocument/2006/relationships/hyperlink" Target="https://www.nice.org.uk/guidance/ta384/documents/committee-papers" TargetMode="External"/><Relationship Id="rId4"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nice.org.uk/guidance/ta396/documents/committee-papers" TargetMode="External"/><Relationship Id="rId2" Type="http://schemas.openxmlformats.org/officeDocument/2006/relationships/hyperlink" Target="https://www.nice.org.uk/guidance/ta396/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drawing" Target="../drawings/drawing14.xml"/><Relationship Id="rId5" Type="http://schemas.openxmlformats.org/officeDocument/2006/relationships/printerSettings" Target="../printerSettings/printerSettings17.bin"/><Relationship Id="rId4" Type="http://schemas.openxmlformats.org/officeDocument/2006/relationships/hyperlink" Target="https://www.nejm.org/doi/full/10.1056/NEJMoa1904059"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8.bin"/><Relationship Id="rId1" Type="http://schemas.openxmlformats.org/officeDocument/2006/relationships/hyperlink" Target="https://www.nice.org.uk/guidance/ta400/documents/committee-papers-2"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9.bin"/><Relationship Id="rId1" Type="http://schemas.openxmlformats.org/officeDocument/2006/relationships/hyperlink" Target="https://www.nice.org.uk/guidance/ta414/documents/committee-paper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0.bin"/><Relationship Id="rId1" Type="http://schemas.openxmlformats.org/officeDocument/2006/relationships/hyperlink" Target="https://www.nice.org.uk/guidance/ta417/documents/committee-papers-4"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www.jto.org/article/S1556-0864(21)02172-9/fulltext" TargetMode="External"/><Relationship Id="rId2" Type="http://schemas.openxmlformats.org/officeDocument/2006/relationships/hyperlink" Target="https://www.thelancet.com/journals/lancet/article/PIIS0140-6736(15)01281-7/fulltext" TargetMode="External"/><Relationship Id="rId1" Type="http://schemas.openxmlformats.org/officeDocument/2006/relationships/hyperlink" Target="https://www.nice.org.uk/guidance/ta428/documents/committee-papers" TargetMode="External"/><Relationship Id="rId6" Type="http://schemas.openxmlformats.org/officeDocument/2006/relationships/drawing" Target="../drawings/drawing18.xml"/><Relationship Id="rId5" Type="http://schemas.openxmlformats.org/officeDocument/2006/relationships/printerSettings" Target="../printerSettings/printerSettings21.bin"/><Relationship Id="rId4" Type="http://schemas.openxmlformats.org/officeDocument/2006/relationships/hyperlink" Target="https://www.jto.org/article/S1556-0864(21)02172-9/fulltext"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2.bin"/><Relationship Id="rId2" Type="http://schemas.openxmlformats.org/officeDocument/2006/relationships/hyperlink" Target="https://www.nice.org.uk/guidance/ta476/documents/1" TargetMode="External"/><Relationship Id="rId1" Type="http://schemas.openxmlformats.org/officeDocument/2006/relationships/hyperlink" Target="https://www.nice.org.uk/guidance/ta476/documents/committee-papers"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8" Type="http://schemas.openxmlformats.org/officeDocument/2006/relationships/drawing" Target="../drawings/drawing20.xml"/><Relationship Id="rId3" Type="http://schemas.openxmlformats.org/officeDocument/2006/relationships/hyperlink" Target="https://www.nice.org.uk/guidance/ta531/documents/committee-papers-3" TargetMode="External"/><Relationship Id="rId7" Type="http://schemas.openxmlformats.org/officeDocument/2006/relationships/printerSettings" Target="../printerSettings/printerSettings23.bin"/><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 Id="rId6" Type="http://schemas.openxmlformats.org/officeDocument/2006/relationships/hyperlink" Target="https://www.nice.org.uk/guidance/ta531/evidence/committee-papers-pdf-4909657501" TargetMode="External"/><Relationship Id="rId5" Type="http://schemas.openxmlformats.org/officeDocument/2006/relationships/hyperlink" Target="https://www.nice.org.uk/guidance/ta531/evidence/committee-papers-pdf-4909657501" TargetMode="External"/><Relationship Id="rId4" Type="http://schemas.openxmlformats.org/officeDocument/2006/relationships/hyperlink" Target="https://www.nice.org.uk/guidance/ta531/documents/committee-papers-3" TargetMode="Externa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 Id="rId4"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10" Type="http://schemas.openxmlformats.org/officeDocument/2006/relationships/printerSettings" Target="../printerSettings/printerSettings3.bin"/><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drawing" Target="../drawings/drawing5.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nice.org.uk/guidance/ta269/documents/melanoma-braf-v600-mutation-positive-unresectable-metastatic-vemurafenib-roche-products4" TargetMode="Externa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 Id="rId5" Type="http://schemas.openxmlformats.org/officeDocument/2006/relationships/drawing" Target="../drawings/drawing6.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4.5" x14ac:dyDescent="0.35"/>
  <cols>
    <col min="1" max="1" width="83" customWidth="1"/>
    <col min="2" max="2" width="42.26953125" customWidth="1"/>
    <col min="3" max="3" width="60.26953125" customWidth="1"/>
    <col min="4" max="4" width="42.26953125" customWidth="1"/>
    <col min="5" max="5" width="43.1796875" customWidth="1"/>
  </cols>
  <sheetData>
    <row r="1" spans="1:5" x14ac:dyDescent="0.35">
      <c r="A1" t="s">
        <v>0</v>
      </c>
      <c r="B1" t="s">
        <v>2</v>
      </c>
      <c r="C1" t="s">
        <v>0</v>
      </c>
      <c r="D1" t="s">
        <v>59</v>
      </c>
      <c r="E1" t="s">
        <v>63</v>
      </c>
    </row>
    <row r="2" spans="1:5" ht="58" x14ac:dyDescent="0.35">
      <c r="A2" s="9" t="s">
        <v>31</v>
      </c>
      <c r="B2" s="13" t="s">
        <v>14</v>
      </c>
      <c r="C2" s="11" t="s">
        <v>15</v>
      </c>
      <c r="D2" s="10" t="s">
        <v>62</v>
      </c>
      <c r="E2" s="12"/>
    </row>
    <row r="3" spans="1:5" ht="43.5" x14ac:dyDescent="0.35">
      <c r="A3" s="9" t="s">
        <v>18</v>
      </c>
      <c r="B3" s="10" t="s">
        <v>65</v>
      </c>
      <c r="C3" s="10" t="s">
        <v>29</v>
      </c>
      <c r="D3" s="10" t="s">
        <v>62</v>
      </c>
      <c r="E3" s="12"/>
    </row>
    <row r="4" spans="1:5" ht="58" x14ac:dyDescent="0.35">
      <c r="A4" s="113" t="s">
        <v>22</v>
      </c>
      <c r="B4" s="3" t="s">
        <v>21</v>
      </c>
      <c r="C4" s="4" t="s">
        <v>19</v>
      </c>
      <c r="D4" s="109" t="s">
        <v>62</v>
      </c>
      <c r="E4" s="15" t="s">
        <v>66</v>
      </c>
    </row>
    <row r="5" spans="1:5" x14ac:dyDescent="0.35">
      <c r="A5" s="114"/>
      <c r="B5" s="6"/>
      <c r="C5" s="7" t="s">
        <v>20</v>
      </c>
      <c r="D5" s="110"/>
      <c r="E5" s="8"/>
    </row>
    <row r="6" spans="1:5" ht="58" x14ac:dyDescent="0.35">
      <c r="A6" s="14" t="s">
        <v>41</v>
      </c>
      <c r="B6" s="3" t="s">
        <v>33</v>
      </c>
      <c r="C6" s="3" t="s">
        <v>34</v>
      </c>
      <c r="D6" s="109" t="s">
        <v>62</v>
      </c>
      <c r="E6" s="5"/>
    </row>
    <row r="7" spans="1:5" x14ac:dyDescent="0.35">
      <c r="A7" s="16"/>
      <c r="B7" s="7" t="s">
        <v>36</v>
      </c>
      <c r="C7" s="6" t="s">
        <v>35</v>
      </c>
      <c r="D7" s="110"/>
      <c r="E7" s="8"/>
    </row>
    <row r="8" spans="1:5" ht="72.5" x14ac:dyDescent="0.35">
      <c r="A8" s="9" t="s">
        <v>42</v>
      </c>
      <c r="B8" s="10" t="s">
        <v>43</v>
      </c>
      <c r="C8" s="10"/>
      <c r="D8" s="18" t="s">
        <v>68</v>
      </c>
      <c r="E8" s="12"/>
    </row>
    <row r="9" spans="1:5" x14ac:dyDescent="0.35">
      <c r="A9" t="s">
        <v>69</v>
      </c>
      <c r="B9" s="4" t="s">
        <v>26</v>
      </c>
      <c r="C9" s="4" t="s">
        <v>24</v>
      </c>
      <c r="D9" s="111" t="s">
        <v>62</v>
      </c>
      <c r="E9" s="5" t="s">
        <v>25</v>
      </c>
    </row>
    <row r="10" spans="1:5" x14ac:dyDescent="0.35">
      <c r="A10" s="16"/>
      <c r="B10" s="6"/>
      <c r="C10" s="7" t="s">
        <v>27</v>
      </c>
      <c r="D10" s="112"/>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2:E3"/>
  <sheetViews>
    <sheetView workbookViewId="0">
      <selection activeCell="C4" sqref="C4"/>
    </sheetView>
  </sheetViews>
  <sheetFormatPr defaultRowHeight="14.5" x14ac:dyDescent="0.35"/>
  <cols>
    <col min="2" max="3" width="19.453125" customWidth="1"/>
    <col min="4" max="4" width="35.1796875" customWidth="1"/>
    <col min="5" max="5" width="83.54296875" customWidth="1"/>
  </cols>
  <sheetData>
    <row r="2" spans="2:5" x14ac:dyDescent="0.35">
      <c r="B2" s="90" t="s">
        <v>193</v>
      </c>
      <c r="C2" s="90" t="s">
        <v>214</v>
      </c>
      <c r="D2" s="90" t="s">
        <v>160</v>
      </c>
      <c r="E2" s="12" t="s">
        <v>159</v>
      </c>
    </row>
    <row r="3" spans="2:5" x14ac:dyDescent="0.35">
      <c r="B3" s="94" t="s">
        <v>200</v>
      </c>
      <c r="C3" s="94" t="s">
        <v>224</v>
      </c>
      <c r="D3" s="94" t="s">
        <v>207</v>
      </c>
      <c r="E3" s="11" t="s">
        <v>5</v>
      </c>
    </row>
  </sheetData>
  <hyperlinks>
    <hyperlink ref="E3" r:id="rId1" xr:uid="{E0A25AE0-CE4E-431D-B156-1D184A04FA03}"/>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F47"/>
  <sheetViews>
    <sheetView topLeftCell="D15" workbookViewId="0">
      <selection activeCell="D5" sqref="D5:D6"/>
    </sheetView>
  </sheetViews>
  <sheetFormatPr defaultRowHeight="14.5" x14ac:dyDescent="0.35"/>
  <cols>
    <col min="2" max="2" width="102.453125" customWidth="1"/>
    <col min="3" max="3" width="51.54296875" customWidth="1"/>
    <col min="4" max="4" width="65.81640625" customWidth="1"/>
    <col min="5" max="5" width="50.1796875" customWidth="1"/>
    <col min="6" max="6" width="24" customWidth="1"/>
  </cols>
  <sheetData>
    <row r="2" spans="2:6" x14ac:dyDescent="0.35">
      <c r="B2" s="90" t="s">
        <v>193</v>
      </c>
      <c r="C2" s="90"/>
      <c r="D2" s="90" t="s">
        <v>160</v>
      </c>
      <c r="E2" s="12" t="s">
        <v>159</v>
      </c>
    </row>
    <row r="3" spans="2:6" ht="44.15" customHeight="1" x14ac:dyDescent="0.35">
      <c r="B3" s="94" t="s">
        <v>200</v>
      </c>
      <c r="C3" s="94" t="s">
        <v>225</v>
      </c>
      <c r="D3" s="95" t="s">
        <v>229</v>
      </c>
      <c r="E3" s="130" t="s">
        <v>165</v>
      </c>
    </row>
    <row r="4" spans="2:6" x14ac:dyDescent="0.35">
      <c r="B4" s="94" t="s">
        <v>200</v>
      </c>
      <c r="C4" s="95" t="s">
        <v>226</v>
      </c>
      <c r="D4" s="90" t="s">
        <v>227</v>
      </c>
      <c r="E4" s="131"/>
    </row>
    <row r="5" spans="2:6" x14ac:dyDescent="0.35">
      <c r="B5" s="98" t="s">
        <v>199</v>
      </c>
      <c r="C5" s="94" t="s">
        <v>228</v>
      </c>
      <c r="D5" s="90" t="s">
        <v>230</v>
      </c>
      <c r="E5" s="132"/>
    </row>
    <row r="6" spans="2:6" x14ac:dyDescent="0.35">
      <c r="B6" s="98" t="s">
        <v>315</v>
      </c>
      <c r="C6" s="98" t="s">
        <v>317</v>
      </c>
      <c r="D6" s="90" t="s">
        <v>316</v>
      </c>
      <c r="E6" s="1" t="s">
        <v>314</v>
      </c>
    </row>
    <row r="7" spans="2:6" x14ac:dyDescent="0.35">
      <c r="E7">
        <f>375/365.25</f>
        <v>1.0266940451745379</v>
      </c>
      <c r="F7">
        <f>E7*12</f>
        <v>12.320328542094455</v>
      </c>
    </row>
    <row r="46" spans="2:2" x14ac:dyDescent="0.35">
      <c r="B46">
        <f>365.25/12</f>
        <v>30.4375</v>
      </c>
    </row>
    <row r="47" spans="2:2" x14ac:dyDescent="0.35">
      <c r="B47">
        <f>B46*36</f>
        <v>1095.75</v>
      </c>
    </row>
  </sheetData>
  <mergeCells count="1">
    <mergeCell ref="E3:E5"/>
  </mergeCells>
  <hyperlinks>
    <hyperlink ref="E3" r:id="rId1" xr:uid="{238F4253-F88A-4B25-8CD8-E4DFEB76D031}"/>
    <hyperlink ref="E6" r:id="rId2" display="https://link.springer.com/article/10.1007/s11523-017-0517-2" xr:uid="{B64C19CB-543F-4344-BDA9-9620E0F0A9F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B1:E2"/>
  <sheetViews>
    <sheetView topLeftCell="A15" workbookViewId="0">
      <selection sqref="A1:XFD2"/>
    </sheetView>
  </sheetViews>
  <sheetFormatPr defaultRowHeight="14.5" x14ac:dyDescent="0.35"/>
  <cols>
    <col min="3" max="3" width="29.81640625" customWidth="1"/>
    <col min="4" max="4" width="30.1796875" customWidth="1"/>
    <col min="5" max="5" width="44.26953125" customWidth="1"/>
  </cols>
  <sheetData>
    <row r="1" spans="2:5" x14ac:dyDescent="0.35">
      <c r="B1" s="90" t="s">
        <v>193</v>
      </c>
      <c r="C1" s="90" t="s">
        <v>214</v>
      </c>
      <c r="D1" s="90" t="s">
        <v>213</v>
      </c>
      <c r="E1" s="90" t="s">
        <v>159</v>
      </c>
    </row>
    <row r="2" spans="2:5" x14ac:dyDescent="0.35">
      <c r="B2" s="90" t="s">
        <v>198</v>
      </c>
      <c r="C2" s="90" t="s">
        <v>215</v>
      </c>
      <c r="D2" s="90" t="s">
        <v>231</v>
      </c>
      <c r="E2" s="1" t="s">
        <v>232</v>
      </c>
    </row>
  </sheetData>
  <hyperlinks>
    <hyperlink ref="E2" r:id="rId1" display="https://www.nice.org.uk/guidance/ta319/documents/melanoma-previously-untreated-unresectable-stage-iii-or-iv-ipilimumab-id74-evaluation-report2" xr:uid="{379A88ED-9CA3-4E17-AC29-6EED605B796B}"/>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1:E4"/>
  <sheetViews>
    <sheetView workbookViewId="0">
      <selection activeCell="B1" sqref="B1:E2"/>
    </sheetView>
  </sheetViews>
  <sheetFormatPr defaultRowHeight="14.5" x14ac:dyDescent="0.35"/>
  <cols>
    <col min="2" max="2" width="41.81640625" customWidth="1"/>
    <col min="3" max="3" width="23.81640625" customWidth="1"/>
  </cols>
  <sheetData>
    <row r="1" spans="2:5" x14ac:dyDescent="0.35">
      <c r="B1" s="90" t="s">
        <v>193</v>
      </c>
      <c r="C1" s="90" t="s">
        <v>214</v>
      </c>
      <c r="D1" s="90" t="s">
        <v>213</v>
      </c>
      <c r="E1" s="90" t="s">
        <v>159</v>
      </c>
    </row>
    <row r="2" spans="2:5" x14ac:dyDescent="0.35">
      <c r="B2" s="90" t="s">
        <v>234</v>
      </c>
      <c r="C2" s="90" t="s">
        <v>215</v>
      </c>
      <c r="D2" s="90" t="s">
        <v>233</v>
      </c>
      <c r="E2" s="1" t="s">
        <v>232</v>
      </c>
    </row>
    <row r="4" spans="2:5" x14ac:dyDescent="0.35">
      <c r="B4" s="10" t="s">
        <v>45</v>
      </c>
      <c r="C4" s="11"/>
    </row>
  </sheetData>
  <hyperlinks>
    <hyperlink ref="E2" r:id="rId1" display="https://www.nice.org.uk/guidance/ta319/documents/melanoma-previously-untreated-unresectable-stage-iii-or-iv-ipilimumab-id74-evaluation-report2" xr:uid="{DE0A6890-9353-4A72-9E16-6212744CA366}"/>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1:E3"/>
  <sheetViews>
    <sheetView workbookViewId="0">
      <selection activeCell="B1" sqref="B1:E3"/>
    </sheetView>
  </sheetViews>
  <sheetFormatPr defaultRowHeight="14.5" x14ac:dyDescent="0.35"/>
  <cols>
    <col min="2" max="2" width="40.81640625" customWidth="1"/>
    <col min="3" max="3" width="22" customWidth="1"/>
    <col min="4" max="4" width="23" customWidth="1"/>
    <col min="5" max="5" width="61.7265625" customWidth="1"/>
  </cols>
  <sheetData>
    <row r="1" spans="2:5" x14ac:dyDescent="0.35">
      <c r="B1" s="90" t="s">
        <v>193</v>
      </c>
      <c r="C1" s="90" t="s">
        <v>214</v>
      </c>
      <c r="D1" s="90" t="s">
        <v>213</v>
      </c>
      <c r="E1" s="90" t="s">
        <v>159</v>
      </c>
    </row>
    <row r="2" spans="2:5" x14ac:dyDescent="0.35">
      <c r="B2" s="90" t="s">
        <v>234</v>
      </c>
      <c r="C2" s="90" t="s">
        <v>215</v>
      </c>
      <c r="D2" s="90" t="s">
        <v>235</v>
      </c>
      <c r="E2" s="11" t="s">
        <v>174</v>
      </c>
    </row>
    <row r="3" spans="2:5" x14ac:dyDescent="0.35">
      <c r="B3" s="99" t="s">
        <v>173</v>
      </c>
    </row>
  </sheetData>
  <hyperlinks>
    <hyperlink ref="E2" r:id="rId1" xr:uid="{EC01F8B0-63F1-4196-B99C-0BB7ADF6593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C4"/>
  <sheetViews>
    <sheetView workbookViewId="0">
      <selection activeCell="B25" sqref="B25"/>
    </sheetView>
  </sheetViews>
  <sheetFormatPr defaultRowHeight="14.5" x14ac:dyDescent="0.35"/>
  <cols>
    <col min="2" max="2" width="61.26953125" customWidth="1"/>
    <col min="3" max="3" width="34.7265625" customWidth="1"/>
  </cols>
  <sheetData>
    <row r="2" spans="2:3" x14ac:dyDescent="0.35">
      <c r="B2" s="90" t="s">
        <v>238</v>
      </c>
      <c r="C2" s="90" t="s">
        <v>159</v>
      </c>
    </row>
    <row r="3" spans="2:3" x14ac:dyDescent="0.35">
      <c r="B3" s="90" t="s">
        <v>236</v>
      </c>
      <c r="C3" s="91" t="s">
        <v>15</v>
      </c>
    </row>
    <row r="4" spans="2:3" x14ac:dyDescent="0.35">
      <c r="B4" s="90" t="s">
        <v>237</v>
      </c>
      <c r="C4" s="91" t="s">
        <v>176</v>
      </c>
    </row>
  </sheetData>
  <hyperlinks>
    <hyperlink ref="C3" r:id="rId1" display="https://www.nice.org.uk/guidance/ta374/documents/committee-papers" xr:uid="{E1B02A9F-48BE-42C0-ABF1-B7831DD36FF5}"/>
    <hyperlink ref="C4" r:id="rId2" display="https://www.nice.org.uk/guidance/ta374/documents/final-appraisal-determination-document-2" xr:uid="{1C99BAF9-6097-4808-9D5A-5E8B50CE98FA}"/>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2:E44"/>
  <sheetViews>
    <sheetView workbookViewId="0">
      <selection activeCell="B2" sqref="B2:E4"/>
    </sheetView>
  </sheetViews>
  <sheetFormatPr defaultRowHeight="14.5" x14ac:dyDescent="0.35"/>
  <cols>
    <col min="2" max="2" width="105.26953125" customWidth="1"/>
    <col min="3" max="3" width="28" customWidth="1"/>
    <col min="4" max="4" width="25" customWidth="1"/>
  </cols>
  <sheetData>
    <row r="2" spans="2:5" x14ac:dyDescent="0.35">
      <c r="B2" s="90" t="s">
        <v>193</v>
      </c>
      <c r="C2" s="90" t="s">
        <v>214</v>
      </c>
      <c r="D2" s="90" t="s">
        <v>213</v>
      </c>
      <c r="E2" s="90" t="s">
        <v>159</v>
      </c>
    </row>
    <row r="3" spans="2:5" x14ac:dyDescent="0.35">
      <c r="B3" s="90" t="s">
        <v>234</v>
      </c>
      <c r="C3" s="90" t="s">
        <v>239</v>
      </c>
      <c r="D3" s="90" t="s">
        <v>243</v>
      </c>
      <c r="E3" s="91" t="s">
        <v>176</v>
      </c>
    </row>
    <row r="4" spans="2:5" x14ac:dyDescent="0.35">
      <c r="B4" s="90" t="s">
        <v>241</v>
      </c>
      <c r="C4" s="90" t="s">
        <v>240</v>
      </c>
      <c r="D4" s="90" t="s">
        <v>242</v>
      </c>
      <c r="E4" s="91" t="s">
        <v>51</v>
      </c>
    </row>
    <row r="5" spans="2:5" x14ac:dyDescent="0.35">
      <c r="C5" s="7"/>
    </row>
    <row r="25" spans="2:2" ht="58" x14ac:dyDescent="0.35">
      <c r="B25" s="13" t="s">
        <v>47</v>
      </c>
    </row>
    <row r="44" spans="3:3" x14ac:dyDescent="0.35">
      <c r="C44" s="100" t="s">
        <v>50</v>
      </c>
    </row>
  </sheetData>
  <hyperlinks>
    <hyperlink ref="E4" r:id="rId1" xr:uid="{11DB6CFF-D911-4653-B562-A2312C6CE13E}"/>
    <hyperlink ref="E3" r:id="rId2" display="https://www.nice.org.uk/guidance/ta384/documents/final-appraisal-determination-document" xr:uid="{9D04FF9C-37DE-4928-8ECD-69B20F70E547}"/>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F72"/>
  <sheetViews>
    <sheetView topLeftCell="A57" workbookViewId="0">
      <selection activeCell="B67" sqref="B67:D72"/>
    </sheetView>
  </sheetViews>
  <sheetFormatPr defaultRowHeight="14.5" x14ac:dyDescent="0.35"/>
  <cols>
    <col min="2" max="3" width="27.26953125" customWidth="1"/>
    <col min="4" max="4" width="51.7265625" customWidth="1"/>
    <col min="5" max="5" width="41" customWidth="1"/>
    <col min="6" max="6" width="19.54296875" customWidth="1"/>
  </cols>
  <sheetData>
    <row r="2" spans="3:6" x14ac:dyDescent="0.35">
      <c r="C2" s="90" t="s">
        <v>193</v>
      </c>
      <c r="D2" s="90" t="s">
        <v>214</v>
      </c>
      <c r="E2" s="90" t="s">
        <v>213</v>
      </c>
      <c r="F2" s="90" t="s">
        <v>159</v>
      </c>
    </row>
    <row r="3" spans="3:6" x14ac:dyDescent="0.35">
      <c r="C3" s="90" t="s">
        <v>199</v>
      </c>
      <c r="D3" s="90" t="s">
        <v>244</v>
      </c>
      <c r="E3" s="90" t="s">
        <v>245</v>
      </c>
      <c r="F3" s="11" t="s">
        <v>15</v>
      </c>
    </row>
    <row r="4" spans="3:6" x14ac:dyDescent="0.35">
      <c r="C4" s="90" t="s">
        <v>246</v>
      </c>
      <c r="D4" s="90" t="s">
        <v>248</v>
      </c>
      <c r="E4" s="90" t="s">
        <v>247</v>
      </c>
      <c r="F4" s="11" t="s">
        <v>15</v>
      </c>
    </row>
    <row r="5" spans="3:6" x14ac:dyDescent="0.35">
      <c r="C5" s="90" t="s">
        <v>246</v>
      </c>
      <c r="D5" s="90" t="s">
        <v>249</v>
      </c>
      <c r="E5" s="90" t="s">
        <v>250</v>
      </c>
      <c r="F5" s="11" t="s">
        <v>15</v>
      </c>
    </row>
    <row r="6" spans="3:6" x14ac:dyDescent="0.35">
      <c r="C6" s="90" t="s">
        <v>251</v>
      </c>
      <c r="D6" s="90" t="s">
        <v>252</v>
      </c>
      <c r="E6" s="90" t="s">
        <v>254</v>
      </c>
      <c r="F6" s="1" t="s">
        <v>253</v>
      </c>
    </row>
    <row r="67" spans="2:5" x14ac:dyDescent="0.35">
      <c r="B67" s="90"/>
      <c r="C67" s="90" t="s">
        <v>305</v>
      </c>
      <c r="D67" s="90" t="s">
        <v>301</v>
      </c>
      <c r="E67" s="90" t="s">
        <v>302</v>
      </c>
    </row>
    <row r="68" spans="2:5" x14ac:dyDescent="0.35">
      <c r="B68" s="90" t="s">
        <v>306</v>
      </c>
      <c r="C68" s="90"/>
      <c r="D68" s="90">
        <v>352</v>
      </c>
      <c r="E68" s="90">
        <v>211</v>
      </c>
    </row>
    <row r="69" spans="2:5" x14ac:dyDescent="0.35">
      <c r="B69" s="90" t="s">
        <v>303</v>
      </c>
      <c r="C69" s="108">
        <f>(D69*D72)+(E69*E72)</f>
        <v>54.474777975133222</v>
      </c>
      <c r="D69" s="90">
        <v>54.1</v>
      </c>
      <c r="E69" s="90">
        <v>55.1</v>
      </c>
    </row>
    <row r="70" spans="2:5" x14ac:dyDescent="0.35">
      <c r="B70" s="90" t="s">
        <v>304</v>
      </c>
      <c r="C70" s="108">
        <f>(D70*D72)+(E70*E72)</f>
        <v>0.56660746003552398</v>
      </c>
      <c r="D70" s="90">
        <f>208/D68</f>
        <v>0.59090909090909094</v>
      </c>
      <c r="E70" s="90">
        <f>111/E68</f>
        <v>0.52606635071090047</v>
      </c>
    </row>
    <row r="71" spans="2:5" x14ac:dyDescent="0.35">
      <c r="B71" s="90" t="s">
        <v>305</v>
      </c>
      <c r="C71" s="90"/>
      <c r="D71" s="90"/>
      <c r="E71" s="90"/>
    </row>
    <row r="72" spans="2:5" x14ac:dyDescent="0.35">
      <c r="B72" s="90" t="s">
        <v>307</v>
      </c>
      <c r="C72" s="90"/>
      <c r="D72" s="90">
        <f>D68/SUM($D$68:$E$68)</f>
        <v>0.62522202486678513</v>
      </c>
      <c r="E72" s="90">
        <f>E68/SUM($D$68:$E$68)</f>
        <v>0.37477797513321492</v>
      </c>
    </row>
  </sheetData>
  <hyperlinks>
    <hyperlink ref="F3" r:id="rId1" display="https://www.nice.org.uk/guidance/ta396/documents/committee-papers" xr:uid="{05D1EEA7-273E-4E5A-84CE-9875F7A96422}"/>
    <hyperlink ref="F4" r:id="rId2" display="https://www.nice.org.uk/guidance/ta396/documents/committee-papers" xr:uid="{F1004F4F-FE94-4CDC-BF76-0E3EDF5F8E1E}"/>
    <hyperlink ref="F5" r:id="rId3" display="https://www.nice.org.uk/guidance/ta396/documents/committee-papers" xr:uid="{F8FA4089-541D-4F84-9AEB-769BAB795F3E}"/>
    <hyperlink ref="F6" r:id="rId4" display="https://www.nejm.org/doi/full/10.1056/NEJMoa1904059" xr:uid="{94FD230B-D6F1-42BC-A66E-F3C5893B9C3D}"/>
  </hyperlinks>
  <pageMargins left="0.7" right="0.7" top="0.75" bottom="0.75" header="0.3" footer="0.3"/>
  <pageSetup paperSize="9" orientation="portrait" r:id="rId5"/>
  <drawing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1:F3"/>
  <sheetViews>
    <sheetView workbookViewId="0">
      <selection activeCell="D3" sqref="D3"/>
    </sheetView>
  </sheetViews>
  <sheetFormatPr defaultRowHeight="14.5" x14ac:dyDescent="0.35"/>
  <cols>
    <col min="3" max="3" width="79" customWidth="1"/>
    <col min="4" max="4" width="26.1796875" customWidth="1"/>
  </cols>
  <sheetData>
    <row r="1" spans="3:6" x14ac:dyDescent="0.35">
      <c r="C1" s="90" t="s">
        <v>193</v>
      </c>
      <c r="D1" s="90" t="s">
        <v>214</v>
      </c>
      <c r="E1" s="90" t="s">
        <v>213</v>
      </c>
      <c r="F1" s="90" t="s">
        <v>159</v>
      </c>
    </row>
    <row r="2" spans="3:6" x14ac:dyDescent="0.35">
      <c r="C2" s="90" t="s">
        <v>255</v>
      </c>
      <c r="D2" s="90" t="s">
        <v>258</v>
      </c>
      <c r="E2" s="90" t="s">
        <v>257</v>
      </c>
      <c r="F2" s="1" t="s">
        <v>256</v>
      </c>
    </row>
    <row r="3" spans="3:6" x14ac:dyDescent="0.35">
      <c r="C3" s="101" t="s">
        <v>53</v>
      </c>
    </row>
  </sheetData>
  <hyperlinks>
    <hyperlink ref="F2" r:id="rId1" display="https://www.nice.org.uk/guidance/ta400/documents/committee-papers-2" xr:uid="{053F3CF0-A27B-4E50-97AF-688A32887259}"/>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5"/>
  <sheetViews>
    <sheetView workbookViewId="0">
      <selection activeCell="B2" sqref="B2:E3"/>
    </sheetView>
  </sheetViews>
  <sheetFormatPr defaultRowHeight="14.5" x14ac:dyDescent="0.35"/>
  <cols>
    <col min="2" max="2" width="22.453125" customWidth="1"/>
    <col min="3" max="3" width="19.54296875" bestFit="1" customWidth="1"/>
    <col min="4" max="4" width="19.453125" bestFit="1" customWidth="1"/>
  </cols>
  <sheetData>
    <row r="2" spans="2:5" x14ac:dyDescent="0.35">
      <c r="B2" s="90" t="s">
        <v>193</v>
      </c>
      <c r="C2" s="90" t="s">
        <v>214</v>
      </c>
      <c r="D2" s="90" t="s">
        <v>213</v>
      </c>
      <c r="E2" s="90" t="s">
        <v>159</v>
      </c>
    </row>
    <row r="3" spans="2:5" x14ac:dyDescent="0.35">
      <c r="B3" s="90" t="s">
        <v>255</v>
      </c>
      <c r="C3" s="90" t="s">
        <v>215</v>
      </c>
      <c r="D3" s="90" t="s">
        <v>259</v>
      </c>
      <c r="E3" s="1" t="s">
        <v>15</v>
      </c>
    </row>
    <row r="4" spans="2:5" x14ac:dyDescent="0.35">
      <c r="E4">
        <v>204</v>
      </c>
    </row>
    <row r="5" spans="2:5" x14ac:dyDescent="0.35">
      <c r="B5" s="99" t="s">
        <v>175</v>
      </c>
    </row>
  </sheetData>
  <hyperlinks>
    <hyperlink ref="E3" r:id="rId1" display="https://www.nice.org.uk/guidance/ta414/documents/committee-papers" xr:uid="{24F6F53C-2F6C-49F8-86B8-B21AC5265EF4}"/>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G24"/>
  <sheetViews>
    <sheetView topLeftCell="A7" workbookViewId="0">
      <selection activeCell="A15" sqref="A15"/>
    </sheetView>
  </sheetViews>
  <sheetFormatPr defaultRowHeight="14.5" x14ac:dyDescent="0.35"/>
  <cols>
    <col min="2" max="2" width="100.453125" customWidth="1"/>
    <col min="3" max="3" width="55.453125" hidden="1" customWidth="1"/>
    <col min="4" max="4" width="60.26953125" hidden="1" customWidth="1"/>
    <col min="5" max="5" width="60.26953125" customWidth="1"/>
    <col min="6" max="6" width="42.26953125" customWidth="1"/>
    <col min="7" max="7" width="43.1796875" customWidth="1"/>
  </cols>
  <sheetData>
    <row r="1" spans="1:7" x14ac:dyDescent="0.35">
      <c r="A1" t="s">
        <v>212</v>
      </c>
      <c r="B1" t="s">
        <v>0</v>
      </c>
      <c r="C1" t="s">
        <v>196</v>
      </c>
      <c r="D1" t="s">
        <v>0</v>
      </c>
      <c r="F1" t="s">
        <v>59</v>
      </c>
      <c r="G1" t="s">
        <v>63</v>
      </c>
    </row>
    <row r="2" spans="1:7" x14ac:dyDescent="0.35">
      <c r="A2" s="115" t="s">
        <v>191</v>
      </c>
      <c r="B2" s="118" t="s">
        <v>194</v>
      </c>
      <c r="C2" s="3" t="s">
        <v>3</v>
      </c>
      <c r="D2" s="4" t="s">
        <v>1</v>
      </c>
      <c r="E2" s="4"/>
      <c r="F2" s="116" t="s">
        <v>60</v>
      </c>
      <c r="G2" s="5"/>
    </row>
    <row r="3" spans="1:7" ht="48" customHeight="1" x14ac:dyDescent="0.35">
      <c r="A3" s="115"/>
      <c r="B3" s="119"/>
      <c r="C3" s="6" t="s">
        <v>9</v>
      </c>
      <c r="D3" s="7" t="s">
        <v>8</v>
      </c>
      <c r="E3" s="7"/>
      <c r="F3" s="117"/>
      <c r="G3" s="8"/>
    </row>
    <row r="4" spans="1:7" ht="58" x14ac:dyDescent="0.35">
      <c r="A4" s="104" t="s">
        <v>190</v>
      </c>
      <c r="B4" s="9" t="s">
        <v>195</v>
      </c>
      <c r="C4" s="10" t="s">
        <v>64</v>
      </c>
      <c r="D4" s="11" t="s">
        <v>5</v>
      </c>
      <c r="E4" s="11"/>
      <c r="F4" s="86" t="s">
        <v>60</v>
      </c>
      <c r="G4" s="12"/>
    </row>
    <row r="5" spans="1:7" ht="56.5" customHeight="1" x14ac:dyDescent="0.35">
      <c r="A5" s="115" t="s">
        <v>187</v>
      </c>
      <c r="B5" s="118" t="s">
        <v>197</v>
      </c>
      <c r="C5" s="120" t="s">
        <v>61</v>
      </c>
      <c r="D5" s="4" t="s">
        <v>11</v>
      </c>
      <c r="E5" s="4"/>
      <c r="F5" s="116" t="s">
        <v>60</v>
      </c>
      <c r="G5" s="5"/>
    </row>
    <row r="6" spans="1:7" x14ac:dyDescent="0.35">
      <c r="A6" s="115"/>
      <c r="B6" s="119"/>
      <c r="C6" s="121"/>
      <c r="D6" s="7" t="s">
        <v>10</v>
      </c>
      <c r="E6" s="7"/>
      <c r="F6" s="117"/>
      <c r="G6" s="8"/>
    </row>
    <row r="7" spans="1:7" ht="58" x14ac:dyDescent="0.35">
      <c r="A7" s="104" t="s">
        <v>279</v>
      </c>
      <c r="B7" s="9" t="s">
        <v>31</v>
      </c>
      <c r="C7" s="13" t="s">
        <v>14</v>
      </c>
      <c r="D7" s="11" t="s">
        <v>15</v>
      </c>
      <c r="E7" s="11"/>
      <c r="F7" s="86" t="s">
        <v>62</v>
      </c>
      <c r="G7" s="12"/>
    </row>
    <row r="8" spans="1:7" hidden="1" x14ac:dyDescent="0.35">
      <c r="A8" s="104"/>
      <c r="B8" s="9" t="s">
        <v>16</v>
      </c>
      <c r="C8" s="10" t="s">
        <v>32</v>
      </c>
      <c r="D8" s="10"/>
      <c r="E8" s="10"/>
      <c r="F8" s="86" t="s">
        <v>60</v>
      </c>
      <c r="G8" s="12"/>
    </row>
    <row r="9" spans="1:7" ht="29" x14ac:dyDescent="0.35">
      <c r="A9" s="104" t="s">
        <v>80</v>
      </c>
      <c r="B9" s="9" t="s">
        <v>18</v>
      </c>
      <c r="C9" s="10" t="s">
        <v>65</v>
      </c>
      <c r="D9" s="10"/>
      <c r="E9" s="10"/>
      <c r="F9" s="86" t="s">
        <v>62</v>
      </c>
      <c r="G9" s="12"/>
    </row>
    <row r="10" spans="1:7" ht="58" x14ac:dyDescent="0.35">
      <c r="A10" s="122" t="s">
        <v>81</v>
      </c>
      <c r="B10" s="113" t="s">
        <v>22</v>
      </c>
      <c r="C10" s="3" t="s">
        <v>21</v>
      </c>
      <c r="D10" s="4" t="s">
        <v>19</v>
      </c>
      <c r="E10" s="4"/>
      <c r="F10" s="116" t="s">
        <v>62</v>
      </c>
      <c r="G10" s="15" t="s">
        <v>66</v>
      </c>
    </row>
    <row r="11" spans="1:7" x14ac:dyDescent="0.35">
      <c r="A11" s="123"/>
      <c r="B11" s="114"/>
      <c r="C11" s="6"/>
      <c r="D11" s="7" t="s">
        <v>20</v>
      </c>
      <c r="E11" s="7"/>
      <c r="F11" s="117"/>
      <c r="G11" s="8"/>
    </row>
    <row r="12" spans="1:7" ht="58" x14ac:dyDescent="0.35">
      <c r="A12" s="122" t="s">
        <v>82</v>
      </c>
      <c r="B12" s="14" t="s">
        <v>41</v>
      </c>
      <c r="C12" s="4" t="s">
        <v>33</v>
      </c>
      <c r="D12" s="3" t="s">
        <v>34</v>
      </c>
      <c r="E12" s="3"/>
      <c r="F12" s="116" t="s">
        <v>62</v>
      </c>
      <c r="G12" s="5"/>
    </row>
    <row r="13" spans="1:7" x14ac:dyDescent="0.35">
      <c r="A13" s="123"/>
      <c r="B13" s="16"/>
      <c r="C13" s="7" t="s">
        <v>36</v>
      </c>
      <c r="D13" s="6" t="s">
        <v>35</v>
      </c>
      <c r="E13" s="6"/>
      <c r="F13" s="117"/>
      <c r="G13" s="8"/>
    </row>
    <row r="14" spans="1:7" ht="58" x14ac:dyDescent="0.35">
      <c r="A14" s="104" t="s">
        <v>189</v>
      </c>
      <c r="B14" s="9" t="s">
        <v>40</v>
      </c>
      <c r="C14" s="11" t="s">
        <v>37</v>
      </c>
      <c r="D14" s="10" t="s">
        <v>67</v>
      </c>
      <c r="E14" s="10"/>
      <c r="F14" s="87" t="s">
        <v>60</v>
      </c>
      <c r="G14" s="12"/>
    </row>
    <row r="15" spans="1:7" ht="58" x14ac:dyDescent="0.35">
      <c r="A15" s="104"/>
      <c r="B15" s="81" t="s">
        <v>42</v>
      </c>
      <c r="C15" s="10" t="s">
        <v>43</v>
      </c>
      <c r="D15" s="10"/>
      <c r="E15" s="10"/>
      <c r="F15" s="87" t="s">
        <v>68</v>
      </c>
      <c r="G15" s="12"/>
    </row>
    <row r="16" spans="1:7" ht="43.5" x14ac:dyDescent="0.35">
      <c r="A16" s="104"/>
      <c r="B16" s="81" t="s">
        <v>44</v>
      </c>
      <c r="C16" s="10" t="s">
        <v>45</v>
      </c>
      <c r="D16" s="10" t="s">
        <v>46</v>
      </c>
      <c r="E16" s="10"/>
      <c r="F16" s="87" t="s">
        <v>60</v>
      </c>
      <c r="G16" s="12"/>
    </row>
    <row r="17" spans="1:7" ht="101.5" x14ac:dyDescent="0.35">
      <c r="A17" s="104"/>
      <c r="B17" s="9" t="s">
        <v>49</v>
      </c>
      <c r="C17" s="13" t="s">
        <v>47</v>
      </c>
      <c r="D17" s="11" t="s">
        <v>164</v>
      </c>
      <c r="E17" s="11"/>
      <c r="F17" s="87" t="s">
        <v>60</v>
      </c>
      <c r="G17" s="12"/>
    </row>
    <row r="18" spans="1:7" ht="72.5" x14ac:dyDescent="0.35">
      <c r="A18" s="104"/>
      <c r="B18" s="9" t="s">
        <v>52</v>
      </c>
      <c r="C18" s="13" t="s">
        <v>50</v>
      </c>
      <c r="D18" s="11" t="s">
        <v>51</v>
      </c>
      <c r="E18" s="11"/>
      <c r="F18" s="87" t="s">
        <v>60</v>
      </c>
      <c r="G18" s="12"/>
    </row>
    <row r="19" spans="1:7" ht="72.5" x14ac:dyDescent="0.35">
      <c r="A19" s="104"/>
      <c r="B19" s="81" t="s">
        <v>55</v>
      </c>
      <c r="C19" s="10" t="s">
        <v>53</v>
      </c>
      <c r="D19" s="10" t="s">
        <v>54</v>
      </c>
      <c r="E19" s="10"/>
      <c r="F19" s="87" t="s">
        <v>60</v>
      </c>
      <c r="G19" s="12"/>
    </row>
    <row r="20" spans="1:7" ht="29" x14ac:dyDescent="0.35">
      <c r="A20" s="104"/>
      <c r="B20" s="81" t="s">
        <v>58</v>
      </c>
      <c r="C20" s="10" t="s">
        <v>57</v>
      </c>
      <c r="D20" s="10" t="s">
        <v>56</v>
      </c>
      <c r="E20" s="10"/>
      <c r="F20" s="87" t="s">
        <v>60</v>
      </c>
      <c r="G20" s="12"/>
    </row>
    <row r="21" spans="1:7" hidden="1" x14ac:dyDescent="0.35">
      <c r="B21" s="82" t="s">
        <v>69</v>
      </c>
      <c r="C21" s="4" t="s">
        <v>26</v>
      </c>
      <c r="D21" s="4" t="s">
        <v>24</v>
      </c>
      <c r="E21" s="4"/>
      <c r="F21" s="88" t="s">
        <v>62</v>
      </c>
      <c r="G21" s="5" t="s">
        <v>25</v>
      </c>
    </row>
    <row r="22" spans="1:7" hidden="1" x14ac:dyDescent="0.35">
      <c r="B22" s="16"/>
      <c r="C22" s="6"/>
      <c r="D22" s="7" t="s">
        <v>27</v>
      </c>
      <c r="E22" s="7"/>
      <c r="F22" s="89"/>
      <c r="G22" s="8"/>
    </row>
    <row r="24" spans="1:7" x14ac:dyDescent="0.35">
      <c r="B24" t="s">
        <v>192</v>
      </c>
    </row>
  </sheetData>
  <autoFilter ref="B1:G22" xr:uid="{7846EDEE-EA29-40F8-988C-C7A1A34FE826}"/>
  <mergeCells count="12">
    <mergeCell ref="A2:A3"/>
    <mergeCell ref="F10:F11"/>
    <mergeCell ref="F12:F13"/>
    <mergeCell ref="B10:B11"/>
    <mergeCell ref="B2:B3"/>
    <mergeCell ref="F2:F3"/>
    <mergeCell ref="B5:B6"/>
    <mergeCell ref="F5:F6"/>
    <mergeCell ref="C5:C6"/>
    <mergeCell ref="A5:A6"/>
    <mergeCell ref="A10:A11"/>
    <mergeCell ref="A12:A13"/>
  </mergeCells>
  <hyperlinks>
    <hyperlink ref="D2" r:id="rId1" xr:uid="{B0852248-3175-434A-9715-0FD34334BD33}"/>
    <hyperlink ref="D4" r:id="rId2" xr:uid="{162A42F7-5EEE-4535-A305-E37920382F94}"/>
    <hyperlink ref="D3" r:id="rId3" xr:uid="{66F2B825-2D6B-45A8-B32B-A513B741FA21}"/>
    <hyperlink ref="D6" r:id="rId4" xr:uid="{A29CC1EB-A109-4EF7-99E6-C12A7FFA6013}"/>
    <hyperlink ref="D5" r:id="rId5" xr:uid="{F21F8A8B-CA9A-4853-B35D-1C672C2BB9CF}"/>
    <hyperlink ref="D7" r:id="rId6" display="https://www.nice.org.uk/guidance/ta396/documents/committee-papers" xr:uid="{CBEB62B5-B6F9-4C1B-8612-07F6046159C0}"/>
    <hyperlink ref="D10" r:id="rId7" xr:uid="{40C208DC-E010-47FD-B641-8AB70D569DF0}"/>
    <hyperlink ref="D11" r:id="rId8" xr:uid="{D43B8685-58BB-423D-BA6B-9BD7B2D1EDB6}"/>
    <hyperlink ref="D21" r:id="rId9" display="https://www.nice.org.uk/guidance/ta650/documents/1-2" xr:uid="{E61A8C76-D317-4208-9648-D342D85C4274}"/>
    <hyperlink ref="D22" r:id="rId10" display="https://www.nice.org.uk/guidance/ta650/documents/1" xr:uid="{61385202-968E-4003-956B-24002294950E}"/>
    <hyperlink ref="C13" r:id="rId11" xr:uid="{0000A93E-CC82-43CC-AD01-91637DB8B24C}"/>
    <hyperlink ref="D17" r:id="rId12" xr:uid="{7F2EAA36-ABAD-4FCF-9235-219EAC71E666}"/>
    <hyperlink ref="D18" r:id="rId13" xr:uid="{FEEF0C0F-373A-47D2-9E7B-EBFEBA16C4B2}"/>
    <hyperlink ref="C12" r:id="rId14" xr:uid="{2FD08615-98AE-4D33-A977-52064B2FDC85}"/>
    <hyperlink ref="C14" r:id="rId15" xr:uid="{B35DD193-25F9-4B2C-BCAE-B4E864C3E837}"/>
  </hyperlinks>
  <pageMargins left="0.7" right="0.7" top="0.75" bottom="0.75" header="0.3" footer="0.3"/>
  <pageSetup paperSize="9" orientation="portrait" r:id="rId16"/>
  <drawing r:id="rId17"/>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2:F4"/>
  <sheetViews>
    <sheetView workbookViewId="0">
      <selection activeCell="C2" sqref="C2:F4"/>
    </sheetView>
  </sheetViews>
  <sheetFormatPr defaultRowHeight="14.5" x14ac:dyDescent="0.35"/>
  <cols>
    <col min="3" max="3" width="53" customWidth="1"/>
    <col min="4" max="4" width="22.26953125" customWidth="1"/>
    <col min="5" max="5" width="19.81640625" customWidth="1"/>
  </cols>
  <sheetData>
    <row r="2" spans="3:6" x14ac:dyDescent="0.35">
      <c r="C2" s="90" t="s">
        <v>193</v>
      </c>
      <c r="D2" s="90" t="s">
        <v>214</v>
      </c>
      <c r="E2" s="90" t="s">
        <v>213</v>
      </c>
      <c r="F2" s="90" t="s">
        <v>159</v>
      </c>
    </row>
    <row r="3" spans="3:6" x14ac:dyDescent="0.35">
      <c r="C3" s="90" t="s">
        <v>255</v>
      </c>
      <c r="D3" s="90" t="s">
        <v>215</v>
      </c>
      <c r="E3" s="90" t="s">
        <v>260</v>
      </c>
      <c r="F3" s="91" t="s">
        <v>56</v>
      </c>
    </row>
    <row r="4" spans="3:6" x14ac:dyDescent="0.35">
      <c r="C4" s="102" t="s">
        <v>166</v>
      </c>
    </row>
  </sheetData>
  <hyperlinks>
    <hyperlink ref="F3" r:id="rId1" xr:uid="{528ABE10-98E4-4C3F-B136-EBEBE15A2FF6}"/>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F58"/>
  <sheetViews>
    <sheetView topLeftCell="A43" workbookViewId="0">
      <selection activeCell="C56" sqref="C56:D58"/>
    </sheetView>
  </sheetViews>
  <sheetFormatPr defaultRowHeight="14.5" x14ac:dyDescent="0.35"/>
  <cols>
    <col min="3" max="5" width="61" customWidth="1"/>
  </cols>
  <sheetData>
    <row r="2" spans="3:6" x14ac:dyDescent="0.35">
      <c r="C2" s="90" t="s">
        <v>193</v>
      </c>
      <c r="D2" s="90" t="s">
        <v>214</v>
      </c>
      <c r="E2" s="90" t="s">
        <v>213</v>
      </c>
      <c r="F2" s="90" t="s">
        <v>159</v>
      </c>
    </row>
    <row r="3" spans="3:6" x14ac:dyDescent="0.35">
      <c r="C3" s="90" t="s">
        <v>255</v>
      </c>
      <c r="D3" s="90" t="s">
        <v>215</v>
      </c>
      <c r="E3" s="90" t="s">
        <v>261</v>
      </c>
      <c r="F3" s="4" t="s">
        <v>19</v>
      </c>
    </row>
    <row r="4" spans="3:6" x14ac:dyDescent="0.35">
      <c r="C4" s="90" t="s">
        <v>262</v>
      </c>
      <c r="D4" s="90" t="s">
        <v>265</v>
      </c>
      <c r="E4" s="90" t="s">
        <v>264</v>
      </c>
      <c r="F4" s="1" t="s">
        <v>263</v>
      </c>
    </row>
    <row r="5" spans="3:6" x14ac:dyDescent="0.35">
      <c r="C5" s="90" t="s">
        <v>262</v>
      </c>
      <c r="D5" s="90" t="s">
        <v>266</v>
      </c>
      <c r="E5" s="90" t="s">
        <v>268</v>
      </c>
      <c r="F5" s="1" t="s">
        <v>267</v>
      </c>
    </row>
    <row r="6" spans="3:6" x14ac:dyDescent="0.35">
      <c r="C6" s="90" t="s">
        <v>262</v>
      </c>
      <c r="D6" s="90" t="s">
        <v>317</v>
      </c>
      <c r="E6" s="90" t="s">
        <v>316</v>
      </c>
      <c r="F6" s="1" t="s">
        <v>267</v>
      </c>
    </row>
    <row r="56" spans="3:4" x14ac:dyDescent="0.35">
      <c r="C56" s="90"/>
      <c r="D56" s="90" t="s">
        <v>318</v>
      </c>
    </row>
    <row r="57" spans="3:4" x14ac:dyDescent="0.35">
      <c r="C57" s="90" t="s">
        <v>303</v>
      </c>
      <c r="D57" s="108">
        <v>63</v>
      </c>
    </row>
    <row r="58" spans="3:4" x14ac:dyDescent="0.35">
      <c r="C58" s="90" t="s">
        <v>304</v>
      </c>
      <c r="D58" s="108">
        <f>212/344</f>
        <v>0.61627906976744184</v>
      </c>
    </row>
  </sheetData>
  <hyperlinks>
    <hyperlink ref="F3" r:id="rId1" xr:uid="{B8EF9E75-F807-497F-83F8-767D71FCE6E3}"/>
    <hyperlink ref="F4" r:id="rId2" display="https://www.thelancet.com/journals/lancet/article/PIIS0140-6736(15)01281-7/fulltext" xr:uid="{1AF1EAA8-ADAA-49CF-9055-E5B62D22470A}"/>
    <hyperlink ref="F5" r:id="rId3" display="https://www.jto.org/article/S1556-0864(21)02172-9/fulltext" xr:uid="{A63557AE-97DF-4431-BEFE-6316D350EF8D}"/>
    <hyperlink ref="F6" r:id="rId4" display="https://www.jto.org/article/S1556-0864(21)02172-9/fulltext" xr:uid="{EEE29049-485B-4629-9C7E-6F751A511378}"/>
  </hyperlinks>
  <pageMargins left="0.7" right="0.7" top="0.75" bottom="0.75" header="0.3" footer="0.3"/>
  <pageSetup paperSize="9" orientation="portrait" r:id="rId5"/>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5:E8"/>
  <sheetViews>
    <sheetView workbookViewId="0">
      <selection activeCell="B9" sqref="B9"/>
    </sheetView>
  </sheetViews>
  <sheetFormatPr defaultRowHeight="14.5" x14ac:dyDescent="0.35"/>
  <cols>
    <col min="2" max="2" width="51" customWidth="1"/>
    <col min="3" max="3" width="68.54296875" customWidth="1"/>
  </cols>
  <sheetData>
    <row r="5" spans="2:5" x14ac:dyDescent="0.35">
      <c r="B5" s="90" t="s">
        <v>193</v>
      </c>
      <c r="C5" s="90" t="s">
        <v>214</v>
      </c>
      <c r="D5" s="90" t="s">
        <v>213</v>
      </c>
      <c r="E5" s="90" t="s">
        <v>159</v>
      </c>
    </row>
    <row r="6" spans="2:5" x14ac:dyDescent="0.35">
      <c r="B6" s="90" t="s">
        <v>255</v>
      </c>
      <c r="C6" s="90" t="s">
        <v>215</v>
      </c>
      <c r="D6" s="90" t="s">
        <v>269</v>
      </c>
      <c r="E6" s="4" t="s">
        <v>11</v>
      </c>
    </row>
    <row r="7" spans="2:5" x14ac:dyDescent="0.35">
      <c r="B7" s="103"/>
      <c r="C7" s="103"/>
      <c r="D7" s="103"/>
      <c r="E7" s="7" t="s">
        <v>10</v>
      </c>
    </row>
    <row r="8" spans="2:5" x14ac:dyDescent="0.35">
      <c r="B8" s="102" t="s">
        <v>270</v>
      </c>
    </row>
  </sheetData>
  <hyperlinks>
    <hyperlink ref="E6" r:id="rId1" xr:uid="{B4DECB0A-95E2-483B-978C-C43DFADD669A}"/>
    <hyperlink ref="E7" r:id="rId2" xr:uid="{EFA94155-E125-48B5-8499-2FA0F8BE3DFA}"/>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sheetPr>
    <tabColor rgb="FF00B050"/>
  </sheetPr>
  <dimension ref="A2:N64"/>
  <sheetViews>
    <sheetView tabSelected="1" topLeftCell="A20" workbookViewId="0">
      <selection activeCell="B68" sqref="B68"/>
    </sheetView>
  </sheetViews>
  <sheetFormatPr defaultRowHeight="14.5" x14ac:dyDescent="0.35"/>
  <cols>
    <col min="2" max="2" width="45.7265625" customWidth="1"/>
    <col min="3" max="3" width="56.1796875" customWidth="1"/>
    <col min="4" max="4" width="39.26953125" customWidth="1"/>
    <col min="5" max="5" width="18" customWidth="1"/>
    <col min="14" max="14" width="18" customWidth="1"/>
  </cols>
  <sheetData>
    <row r="2" spans="2:14" x14ac:dyDescent="0.35">
      <c r="B2" s="90" t="s">
        <v>193</v>
      </c>
      <c r="C2" s="90" t="s">
        <v>214</v>
      </c>
      <c r="D2" s="90" t="s">
        <v>213</v>
      </c>
      <c r="E2" s="90" t="s">
        <v>159</v>
      </c>
    </row>
    <row r="3" spans="2:14" x14ac:dyDescent="0.35">
      <c r="B3" s="90" t="s">
        <v>273</v>
      </c>
      <c r="C3" s="90" t="s">
        <v>275</v>
      </c>
      <c r="D3" s="90" t="s">
        <v>271</v>
      </c>
      <c r="E3" s="1" t="s">
        <v>272</v>
      </c>
    </row>
    <row r="4" spans="2:14" x14ac:dyDescent="0.35">
      <c r="B4" s="90" t="s">
        <v>273</v>
      </c>
      <c r="C4" s="90" t="s">
        <v>265</v>
      </c>
      <c r="D4" s="90" t="s">
        <v>274</v>
      </c>
      <c r="E4" s="1" t="s">
        <v>272</v>
      </c>
    </row>
    <row r="5" spans="2:14" x14ac:dyDescent="0.35">
      <c r="B5" s="90" t="s">
        <v>276</v>
      </c>
      <c r="C5" s="90" t="s">
        <v>266</v>
      </c>
      <c r="D5" s="90" t="s">
        <v>277</v>
      </c>
      <c r="E5" s="1" t="s">
        <v>167</v>
      </c>
    </row>
    <row r="6" spans="2:14" x14ac:dyDescent="0.35">
      <c r="B6" s="90" t="s">
        <v>276</v>
      </c>
      <c r="C6" s="90" t="s">
        <v>244</v>
      </c>
      <c r="D6" s="90" t="s">
        <v>278</v>
      </c>
      <c r="E6" s="1" t="s">
        <v>167</v>
      </c>
    </row>
    <row r="7" spans="2:14" x14ac:dyDescent="0.35">
      <c r="B7" s="90" t="s">
        <v>276</v>
      </c>
      <c r="C7" s="90" t="s">
        <v>317</v>
      </c>
      <c r="D7" s="90" t="s">
        <v>319</v>
      </c>
      <c r="E7" s="1" t="s">
        <v>167</v>
      </c>
    </row>
    <row r="12" spans="2:14" x14ac:dyDescent="0.35">
      <c r="N12" t="s">
        <v>168</v>
      </c>
    </row>
    <row r="35" spans="1:2" x14ac:dyDescent="0.35">
      <c r="A35" t="s">
        <v>169</v>
      </c>
      <c r="B35" s="1" t="s">
        <v>170</v>
      </c>
    </row>
    <row r="62" spans="2:6" x14ac:dyDescent="0.35">
      <c r="B62">
        <f>(365.25/12)/7</f>
        <v>4.3482142857142856</v>
      </c>
      <c r="F62">
        <f>22*7</f>
        <v>154</v>
      </c>
    </row>
    <row r="63" spans="2:6" x14ac:dyDescent="0.35">
      <c r="B63">
        <f>22/B62</f>
        <v>5.0595482546201236</v>
      </c>
      <c r="C63">
        <f>43/B62</f>
        <v>9.8891170431211499</v>
      </c>
      <c r="F63">
        <f>F62/365.25</f>
        <v>0.42162902121834361</v>
      </c>
    </row>
    <row r="64" spans="2:6" x14ac:dyDescent="0.35">
      <c r="F64">
        <f>F63*12</f>
        <v>5.0595482546201236</v>
      </c>
    </row>
  </sheetData>
  <hyperlinks>
    <hyperlink ref="E5" r:id="rId1" display="https://www.nice.org.uk/guidance/ta531/evidence/committee-papers-pdf-4909657501" xr:uid="{A5DCD8EE-ADB9-49EB-9CCC-D2F25BBF5A72}"/>
    <hyperlink ref="B35" r:id="rId2" xr:uid="{039AC2E9-D5E6-4A07-A106-D24AB941BA2D}"/>
    <hyperlink ref="E3" r:id="rId3" display="https://www.nice.org.uk/guidance/ta531/documents/committee-papers-3" xr:uid="{7E74186A-4A89-4313-90C4-05CDB7D6E970}"/>
    <hyperlink ref="E4" r:id="rId4" display="https://www.nice.org.uk/guidance/ta531/documents/committee-papers-3" xr:uid="{7C4E9FCD-1274-433C-8A67-0B8042D14A34}"/>
    <hyperlink ref="E6" r:id="rId5" display="https://www.nice.org.uk/guidance/ta531/evidence/committee-papers-pdf-4909657501" xr:uid="{A14011CF-D4C4-428D-AC70-9B827759466E}"/>
    <hyperlink ref="E7" r:id="rId6" display="https://www.nice.org.uk/guidance/ta531/evidence/committee-papers-pdf-4909657501" xr:uid="{D6D0B2EF-AE05-4967-A9AC-6624538E1D34}"/>
  </hyperlinks>
  <pageMargins left="0.7" right="0.7" top="0.75" bottom="0.75" header="0.3" footer="0.3"/>
  <pageSetup paperSize="9" orientation="portrait" r:id="rId7"/>
  <drawing r:id="rId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4.5" x14ac:dyDescent="0.35"/>
  <sheetData>
    <row r="1" spans="1:4" x14ac:dyDescent="0.35">
      <c r="A1" t="s">
        <v>84</v>
      </c>
    </row>
    <row r="3" spans="1:4" x14ac:dyDescent="0.35">
      <c r="A3" s="82" t="s">
        <v>69</v>
      </c>
      <c r="B3" s="4" t="s">
        <v>26</v>
      </c>
      <c r="C3" s="4" t="s">
        <v>24</v>
      </c>
      <c r="D3" s="19" t="s">
        <v>62</v>
      </c>
    </row>
    <row r="4" spans="1:4" x14ac:dyDescent="0.35">
      <c r="A4" s="16"/>
      <c r="B4" s="6"/>
      <c r="C4" s="7" t="s">
        <v>27</v>
      </c>
      <c r="D4" s="6"/>
    </row>
    <row r="39" spans="2:2" x14ac:dyDescent="0.35">
      <c r="B39">
        <f>13*7</f>
        <v>91</v>
      </c>
    </row>
    <row r="40" spans="2:2" x14ac:dyDescent="0.35">
      <c r="B40">
        <f>B39/365.25</f>
        <v>0.24914442162902123</v>
      </c>
    </row>
    <row r="41" spans="2:2" x14ac:dyDescent="0.35">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pageSetup paperSize="9"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4.5" x14ac:dyDescent="0.35"/>
  <cols>
    <col min="1" max="1" width="84.1796875" customWidth="1"/>
    <col min="2" max="2" width="33.81640625" customWidth="1"/>
  </cols>
  <sheetData>
    <row r="1" spans="1:4" x14ac:dyDescent="0.35">
      <c r="B1" t="s">
        <v>2</v>
      </c>
      <c r="C1" t="s">
        <v>0</v>
      </c>
    </row>
    <row r="2" spans="1:4" x14ac:dyDescent="0.35">
      <c r="A2" t="s">
        <v>4</v>
      </c>
      <c r="B2" t="s">
        <v>3</v>
      </c>
      <c r="C2" s="1" t="s">
        <v>1</v>
      </c>
    </row>
    <row r="3" spans="1:4" x14ac:dyDescent="0.35">
      <c r="B3" t="s">
        <v>9</v>
      </c>
      <c r="C3" s="1" t="s">
        <v>8</v>
      </c>
    </row>
    <row r="4" spans="1:4" ht="72.5" x14ac:dyDescent="0.35">
      <c r="A4" s="2" t="s">
        <v>7</v>
      </c>
      <c r="B4" t="s">
        <v>6</v>
      </c>
      <c r="C4" s="1" t="s">
        <v>5</v>
      </c>
    </row>
    <row r="5" spans="1:4" ht="87" x14ac:dyDescent="0.35">
      <c r="A5" s="2" t="s">
        <v>12</v>
      </c>
      <c r="B5" t="s">
        <v>13</v>
      </c>
      <c r="C5" s="1" t="s">
        <v>11</v>
      </c>
    </row>
    <row r="6" spans="1:4" x14ac:dyDescent="0.35">
      <c r="C6" s="1" t="s">
        <v>10</v>
      </c>
    </row>
    <row r="7" spans="1:4" ht="58" x14ac:dyDescent="0.35">
      <c r="A7" s="2" t="s">
        <v>31</v>
      </c>
      <c r="B7" t="s">
        <v>14</v>
      </c>
      <c r="C7" s="1" t="s">
        <v>15</v>
      </c>
    </row>
    <row r="8" spans="1:4" x14ac:dyDescent="0.35">
      <c r="A8" s="2" t="s">
        <v>16</v>
      </c>
      <c r="B8" t="s">
        <v>32</v>
      </c>
    </row>
    <row r="9" spans="1:4" ht="43.5" x14ac:dyDescent="0.35">
      <c r="A9" s="2" t="s">
        <v>18</v>
      </c>
      <c r="B9" t="s">
        <v>17</v>
      </c>
      <c r="C9" t="s">
        <v>29</v>
      </c>
      <c r="D9" t="s">
        <v>30</v>
      </c>
    </row>
    <row r="10" spans="1:4" ht="43.5" x14ac:dyDescent="0.35">
      <c r="A10" s="2" t="s">
        <v>22</v>
      </c>
      <c r="B10" t="s">
        <v>21</v>
      </c>
      <c r="C10" s="1" t="s">
        <v>19</v>
      </c>
    </row>
    <row r="11" spans="1:4" x14ac:dyDescent="0.35">
      <c r="A11" s="2" t="s">
        <v>28</v>
      </c>
      <c r="C11" s="1" t="s">
        <v>20</v>
      </c>
    </row>
    <row r="12" spans="1:4" x14ac:dyDescent="0.35">
      <c r="B12" t="s">
        <v>23</v>
      </c>
    </row>
    <row r="13" spans="1:4" x14ac:dyDescent="0.35">
      <c r="A13" s="2" t="s">
        <v>25</v>
      </c>
      <c r="B13" s="1" t="s">
        <v>26</v>
      </c>
      <c r="C13" s="1" t="s">
        <v>24</v>
      </c>
    </row>
    <row r="14" spans="1:4" x14ac:dyDescent="0.35">
      <c r="B14" s="1" t="s">
        <v>27</v>
      </c>
    </row>
    <row r="17" spans="1:3" ht="58" x14ac:dyDescent="0.35">
      <c r="A17" s="2" t="s">
        <v>41</v>
      </c>
      <c r="B17" t="s">
        <v>33</v>
      </c>
      <c r="C17" t="s">
        <v>34</v>
      </c>
    </row>
    <row r="18" spans="1:3" x14ac:dyDescent="0.35">
      <c r="B18" s="1" t="s">
        <v>36</v>
      </c>
      <c r="C18" t="s">
        <v>35</v>
      </c>
    </row>
    <row r="20" spans="1:3" ht="72.5" x14ac:dyDescent="0.35">
      <c r="A20" s="2" t="s">
        <v>40</v>
      </c>
      <c r="B20" t="s">
        <v>37</v>
      </c>
      <c r="C20" t="s">
        <v>38</v>
      </c>
    </row>
    <row r="21" spans="1:3" x14ac:dyDescent="0.35">
      <c r="B21" t="s">
        <v>39</v>
      </c>
    </row>
    <row r="23" spans="1:3" ht="72.5" x14ac:dyDescent="0.35">
      <c r="A23" s="2" t="s">
        <v>42</v>
      </c>
      <c r="B23" t="s">
        <v>43</v>
      </c>
    </row>
    <row r="25" spans="1:3" x14ac:dyDescent="0.35">
      <c r="A25" t="s">
        <v>44</v>
      </c>
      <c r="B25" t="s">
        <v>45</v>
      </c>
      <c r="C25" t="s">
        <v>46</v>
      </c>
    </row>
    <row r="27" spans="1:3" ht="116" x14ac:dyDescent="0.35">
      <c r="A27" s="2" t="s">
        <v>49</v>
      </c>
      <c r="B27" s="2" t="s">
        <v>47</v>
      </c>
      <c r="C27" s="1" t="s">
        <v>48</v>
      </c>
    </row>
    <row r="29" spans="1:3" ht="116" x14ac:dyDescent="0.35">
      <c r="A29" s="2" t="s">
        <v>52</v>
      </c>
      <c r="B29" s="2" t="s">
        <v>50</v>
      </c>
      <c r="C29" s="1" t="s">
        <v>51</v>
      </c>
    </row>
    <row r="31" spans="1:3" ht="72.5" x14ac:dyDescent="0.35">
      <c r="A31" s="2" t="s">
        <v>55</v>
      </c>
      <c r="B31" t="s">
        <v>53</v>
      </c>
      <c r="C31" t="s">
        <v>54</v>
      </c>
    </row>
    <row r="33" spans="1:3" ht="43.5" x14ac:dyDescent="0.35">
      <c r="A33" s="2" t="s">
        <v>58</v>
      </c>
      <c r="B33" t="s">
        <v>57</v>
      </c>
      <c r="C33" t="s">
        <v>56</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pageSetup paperSize="9" orientation="portrait"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workbookViewId="0">
      <selection activeCell="I4" sqref="I4:I5"/>
    </sheetView>
  </sheetViews>
  <sheetFormatPr defaultRowHeight="14.5" x14ac:dyDescent="0.35"/>
  <cols>
    <col min="1" max="1" width="30.453125" customWidth="1"/>
    <col min="2" max="2" width="43" hidden="1" customWidth="1"/>
    <col min="3" max="3" width="23.81640625" customWidth="1"/>
    <col min="4" max="8" width="43" customWidth="1"/>
    <col min="9" max="9" width="63.81640625" customWidth="1"/>
    <col min="10" max="10" width="40.453125" customWidth="1"/>
    <col min="11" max="11" width="57.81640625" customWidth="1"/>
    <col min="12" max="12" width="46.26953125" customWidth="1"/>
    <col min="13" max="13" width="29.81640625" customWidth="1"/>
    <col min="14" max="14" width="25" customWidth="1"/>
  </cols>
  <sheetData>
    <row r="1" spans="1:14" x14ac:dyDescent="0.35">
      <c r="A1" t="s">
        <v>78</v>
      </c>
      <c r="B1" t="s">
        <v>63</v>
      </c>
      <c r="C1" t="s">
        <v>90</v>
      </c>
      <c r="D1" t="s">
        <v>91</v>
      </c>
      <c r="E1" t="s">
        <v>117</v>
      </c>
      <c r="F1" t="s">
        <v>89</v>
      </c>
      <c r="G1" t="s">
        <v>63</v>
      </c>
      <c r="H1" t="s">
        <v>109</v>
      </c>
      <c r="I1" t="s">
        <v>0</v>
      </c>
      <c r="J1" t="s">
        <v>2</v>
      </c>
      <c r="K1" t="s">
        <v>0</v>
      </c>
      <c r="L1" t="s">
        <v>59</v>
      </c>
      <c r="M1" t="s">
        <v>63</v>
      </c>
      <c r="N1" t="s">
        <v>70</v>
      </c>
    </row>
    <row r="2" spans="1:14" ht="130.5" x14ac:dyDescent="0.35">
      <c r="A2" s="32" t="s">
        <v>79</v>
      </c>
      <c r="B2" s="25" t="s">
        <v>85</v>
      </c>
      <c r="C2" s="25" t="s">
        <v>92</v>
      </c>
      <c r="D2" s="25" t="s">
        <v>96</v>
      </c>
      <c r="E2" s="25" t="s">
        <v>93</v>
      </c>
      <c r="F2" s="25" t="s">
        <v>110</v>
      </c>
      <c r="G2" s="25" t="s">
        <v>119</v>
      </c>
      <c r="H2" s="37" t="s">
        <v>115</v>
      </c>
      <c r="I2" s="9" t="s">
        <v>31</v>
      </c>
      <c r="J2" s="13" t="s">
        <v>14</v>
      </c>
      <c r="K2" s="11" t="s">
        <v>15</v>
      </c>
      <c r="L2" s="26" t="s">
        <v>62</v>
      </c>
      <c r="M2" s="12"/>
      <c r="N2" s="20" t="s">
        <v>71</v>
      </c>
    </row>
    <row r="3" spans="1:14" ht="58" x14ac:dyDescent="0.35">
      <c r="A3" s="32" t="s">
        <v>80</v>
      </c>
      <c r="B3" s="22" t="s">
        <v>87</v>
      </c>
      <c r="C3" s="22" t="s">
        <v>95</v>
      </c>
      <c r="D3" s="22" t="s">
        <v>94</v>
      </c>
      <c r="E3" s="22" t="s">
        <v>97</v>
      </c>
      <c r="F3" s="22" t="s">
        <v>98</v>
      </c>
      <c r="G3" s="22"/>
      <c r="H3" s="36" t="s">
        <v>118</v>
      </c>
      <c r="I3" s="9" t="s">
        <v>18</v>
      </c>
      <c r="J3" s="10" t="s">
        <v>65</v>
      </c>
      <c r="K3" s="13" t="s">
        <v>86</v>
      </c>
      <c r="L3" s="26" t="s">
        <v>62</v>
      </c>
      <c r="M3" s="12"/>
      <c r="N3" s="17" t="s">
        <v>72</v>
      </c>
    </row>
    <row r="4" spans="1:14" ht="58" x14ac:dyDescent="0.35">
      <c r="A4" s="126" t="s">
        <v>81</v>
      </c>
      <c r="B4" s="23" t="s">
        <v>99</v>
      </c>
      <c r="C4" s="23" t="s">
        <v>100</v>
      </c>
      <c r="D4" s="23" t="s">
        <v>101</v>
      </c>
      <c r="E4" s="23" t="s">
        <v>102</v>
      </c>
      <c r="F4" s="23" t="s">
        <v>103</v>
      </c>
      <c r="G4" s="23" t="s">
        <v>104</v>
      </c>
      <c r="H4" s="38" t="s">
        <v>115</v>
      </c>
      <c r="I4" s="113" t="s">
        <v>73</v>
      </c>
      <c r="J4" s="3" t="s">
        <v>21</v>
      </c>
      <c r="K4" s="4" t="s">
        <v>19</v>
      </c>
      <c r="L4" s="128" t="s">
        <v>62</v>
      </c>
      <c r="M4" s="15" t="s">
        <v>66</v>
      </c>
      <c r="N4" s="21" t="s">
        <v>74</v>
      </c>
    </row>
    <row r="5" spans="1:14" x14ac:dyDescent="0.35">
      <c r="A5" s="126"/>
      <c r="B5" s="23"/>
      <c r="C5" s="23"/>
      <c r="D5" s="23"/>
      <c r="E5" s="23"/>
      <c r="F5" s="23"/>
      <c r="G5" s="23"/>
      <c r="H5" s="23"/>
      <c r="I5" s="114"/>
      <c r="J5" s="6"/>
      <c r="K5" s="7" t="s">
        <v>20</v>
      </c>
      <c r="L5" s="129"/>
      <c r="M5" s="8"/>
      <c r="N5" s="21"/>
    </row>
    <row r="6" spans="1:14" ht="72.5" x14ac:dyDescent="0.35">
      <c r="A6" s="127" t="s">
        <v>82</v>
      </c>
      <c r="B6" s="24"/>
      <c r="C6" s="25" t="s">
        <v>92</v>
      </c>
      <c r="D6" s="34" t="s">
        <v>101</v>
      </c>
      <c r="E6" s="31" t="s">
        <v>106</v>
      </c>
      <c r="F6" s="24" t="s">
        <v>107</v>
      </c>
      <c r="G6" s="33" t="s">
        <v>105</v>
      </c>
      <c r="H6" s="24" t="s">
        <v>116</v>
      </c>
      <c r="I6" s="14" t="s">
        <v>41</v>
      </c>
      <c r="J6" s="3" t="s">
        <v>33</v>
      </c>
      <c r="K6" s="3" t="s">
        <v>34</v>
      </c>
      <c r="L6" s="128" t="s">
        <v>62</v>
      </c>
      <c r="M6" s="5"/>
      <c r="N6" s="20" t="s">
        <v>75</v>
      </c>
    </row>
    <row r="7" spans="1:14" x14ac:dyDescent="0.35">
      <c r="A7" s="127"/>
      <c r="B7" s="24"/>
      <c r="C7" s="24"/>
      <c r="D7" s="24"/>
      <c r="E7" s="24"/>
      <c r="F7" s="24" t="s">
        <v>108</v>
      </c>
      <c r="G7" s="24"/>
      <c r="H7" s="24"/>
      <c r="I7" s="16"/>
      <c r="J7" s="7" t="s">
        <v>36</v>
      </c>
      <c r="K7" s="6" t="s">
        <v>35</v>
      </c>
      <c r="L7" s="129"/>
      <c r="M7" s="8"/>
    </row>
    <row r="8" spans="1:14" ht="72.5" x14ac:dyDescent="0.35">
      <c r="A8" s="32" t="s">
        <v>83</v>
      </c>
      <c r="C8" s="25" t="s">
        <v>92</v>
      </c>
      <c r="D8" s="23" t="s">
        <v>101</v>
      </c>
      <c r="E8" t="s">
        <v>111</v>
      </c>
      <c r="F8" s="2" t="s">
        <v>112</v>
      </c>
      <c r="G8" t="s">
        <v>113</v>
      </c>
      <c r="H8" t="s">
        <v>116</v>
      </c>
      <c r="I8" s="9" t="s">
        <v>42</v>
      </c>
      <c r="J8" s="10" t="s">
        <v>88</v>
      </c>
      <c r="K8" s="10"/>
      <c r="L8" s="27" t="s">
        <v>62</v>
      </c>
      <c r="M8" s="12"/>
      <c r="N8" s="17" t="s">
        <v>76</v>
      </c>
    </row>
    <row r="9" spans="1:14" x14ac:dyDescent="0.35">
      <c r="A9" s="32" t="s">
        <v>84</v>
      </c>
      <c r="C9" s="25" t="s">
        <v>95</v>
      </c>
      <c r="D9" s="35" t="s">
        <v>114</v>
      </c>
      <c r="E9" t="s">
        <v>120</v>
      </c>
      <c r="G9" t="s">
        <v>121</v>
      </c>
      <c r="H9" t="s">
        <v>116</v>
      </c>
      <c r="I9" t="s">
        <v>69</v>
      </c>
      <c r="J9" s="4" t="s">
        <v>26</v>
      </c>
      <c r="K9" s="4" t="s">
        <v>24</v>
      </c>
      <c r="L9" s="124" t="s">
        <v>62</v>
      </c>
      <c r="M9" s="5" t="s">
        <v>25</v>
      </c>
      <c r="N9" t="s">
        <v>77</v>
      </c>
    </row>
    <row r="10" spans="1:14" x14ac:dyDescent="0.35">
      <c r="I10" s="16"/>
      <c r="J10" s="6"/>
      <c r="K10" s="7" t="s">
        <v>27</v>
      </c>
      <c r="L10" s="125"/>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pageSetup paperSize="9"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4.5" x14ac:dyDescent="0.35"/>
  <cols>
    <col min="1" max="1" width="30.453125" customWidth="1"/>
    <col min="2" max="3" width="43" customWidth="1"/>
    <col min="4" max="4" width="23.81640625" customWidth="1"/>
    <col min="5" max="6" width="43" customWidth="1"/>
    <col min="7" max="7" width="35.26953125" customWidth="1"/>
    <col min="8" max="10" width="32.7265625" customWidth="1"/>
    <col min="11" max="14" width="43" customWidth="1"/>
    <col min="15" max="15" width="63.81640625" customWidth="1"/>
    <col min="16" max="16" width="40.453125" customWidth="1"/>
    <col min="17" max="17" width="57.81640625" customWidth="1"/>
    <col min="18" max="18" width="46.26953125" customWidth="1"/>
    <col min="19" max="19" width="29.81640625" customWidth="1"/>
    <col min="20" max="20" width="25" customWidth="1"/>
  </cols>
  <sheetData>
    <row r="1" spans="1:20" ht="15" thickBot="1" x14ac:dyDescent="0.4">
      <c r="A1" s="39">
        <f>COUNTA($A$2:A2)</f>
        <v>1</v>
      </c>
      <c r="B1" s="39">
        <f>COUNTA($A$2:B2)</f>
        <v>2</v>
      </c>
      <c r="C1" s="39">
        <f>COUNTA($A$2:C2)</f>
        <v>3</v>
      </c>
      <c r="D1" s="39">
        <f>COUNTA($A$2:D2)</f>
        <v>4</v>
      </c>
      <c r="E1" s="39">
        <f>COUNTA($A$2:E2)</f>
        <v>5</v>
      </c>
      <c r="F1" s="39">
        <f>COUNTA($A$2:F2)</f>
        <v>6</v>
      </c>
      <c r="G1" s="54" t="s">
        <v>127</v>
      </c>
      <c r="H1" s="42"/>
      <c r="I1" s="41" t="s">
        <v>130</v>
      </c>
      <c r="J1" s="42"/>
      <c r="K1" s="39">
        <f>COUNTA($A$2:K2)</f>
        <v>11</v>
      </c>
    </row>
    <row r="2" spans="1:20" ht="41.25" customHeight="1" thickBot="1" x14ac:dyDescent="0.4">
      <c r="A2" s="52" t="s">
        <v>78</v>
      </c>
      <c r="B2" s="53" t="s">
        <v>63</v>
      </c>
      <c r="C2" s="53" t="s">
        <v>122</v>
      </c>
      <c r="D2" s="53" t="s">
        <v>90</v>
      </c>
      <c r="E2" s="53" t="s">
        <v>91</v>
      </c>
      <c r="F2" s="53" t="s">
        <v>125</v>
      </c>
      <c r="G2" s="55" t="s">
        <v>128</v>
      </c>
      <c r="H2" s="57" t="s">
        <v>129</v>
      </c>
      <c r="I2" s="56" t="s">
        <v>128</v>
      </c>
      <c r="J2" s="57" t="s">
        <v>129</v>
      </c>
      <c r="K2" t="s">
        <v>117</v>
      </c>
      <c r="L2" t="s">
        <v>89</v>
      </c>
      <c r="M2" t="s">
        <v>63</v>
      </c>
      <c r="N2" t="s">
        <v>109</v>
      </c>
      <c r="O2" t="s">
        <v>0</v>
      </c>
      <c r="P2" t="s">
        <v>2</v>
      </c>
      <c r="Q2" t="s">
        <v>0</v>
      </c>
      <c r="R2" t="s">
        <v>59</v>
      </c>
      <c r="S2" t="s">
        <v>63</v>
      </c>
      <c r="T2" t="s">
        <v>70</v>
      </c>
    </row>
    <row r="3" spans="1:20" ht="130.5" x14ac:dyDescent="0.35">
      <c r="A3" s="49" t="s">
        <v>79</v>
      </c>
      <c r="B3" s="50" t="s">
        <v>85</v>
      </c>
      <c r="C3" s="50" t="s">
        <v>124</v>
      </c>
      <c r="D3" s="50" t="s">
        <v>92</v>
      </c>
      <c r="E3" s="50" t="s">
        <v>96</v>
      </c>
      <c r="F3" s="50" t="s">
        <v>124</v>
      </c>
      <c r="G3" s="50">
        <v>18.600000000000001</v>
      </c>
      <c r="H3" s="50">
        <v>18.3</v>
      </c>
      <c r="I3" s="50">
        <v>11.8</v>
      </c>
      <c r="J3" s="51">
        <v>14.7</v>
      </c>
      <c r="K3" s="25" t="s">
        <v>93</v>
      </c>
      <c r="L3" s="25" t="s">
        <v>110</v>
      </c>
      <c r="M3" s="25" t="s">
        <v>119</v>
      </c>
      <c r="N3" s="37" t="s">
        <v>115</v>
      </c>
      <c r="O3" s="9" t="s">
        <v>31</v>
      </c>
      <c r="P3" s="13" t="s">
        <v>14</v>
      </c>
      <c r="Q3" s="11" t="s">
        <v>15</v>
      </c>
      <c r="R3" s="26" t="s">
        <v>62</v>
      </c>
      <c r="S3" s="12"/>
      <c r="T3" s="20" t="s">
        <v>152</v>
      </c>
    </row>
    <row r="4" spans="1:20" ht="29.5" thickBot="1" x14ac:dyDescent="0.4">
      <c r="A4" s="44" t="s">
        <v>79</v>
      </c>
      <c r="B4" s="23"/>
      <c r="C4" s="23" t="s">
        <v>126</v>
      </c>
      <c r="D4" s="23" t="s">
        <v>92</v>
      </c>
      <c r="E4" s="23" t="s">
        <v>96</v>
      </c>
      <c r="F4" s="23" t="s">
        <v>126</v>
      </c>
      <c r="G4" s="23">
        <v>3.2</v>
      </c>
      <c r="H4" s="23" t="s">
        <v>131</v>
      </c>
      <c r="I4" s="23">
        <v>12.5</v>
      </c>
      <c r="J4" s="45">
        <v>19.100000000000001</v>
      </c>
      <c r="K4" s="25"/>
      <c r="L4" s="25"/>
      <c r="M4" s="25"/>
      <c r="N4" s="37"/>
      <c r="O4" s="9"/>
      <c r="P4" s="13"/>
      <c r="Q4" s="11"/>
      <c r="R4" s="26"/>
      <c r="S4" s="12"/>
      <c r="T4" s="20"/>
    </row>
    <row r="5" spans="1:20" ht="58" x14ac:dyDescent="0.35">
      <c r="A5" s="49" t="s">
        <v>80</v>
      </c>
      <c r="B5" s="59" t="s">
        <v>87</v>
      </c>
      <c r="C5" s="50" t="s">
        <v>132</v>
      </c>
      <c r="D5" s="59" t="s">
        <v>95</v>
      </c>
      <c r="E5" s="59" t="s">
        <v>94</v>
      </c>
      <c r="F5" s="50" t="s">
        <v>132</v>
      </c>
      <c r="G5" s="50" t="s">
        <v>131</v>
      </c>
      <c r="H5" s="50" t="s">
        <v>131</v>
      </c>
      <c r="I5" s="50">
        <v>4</v>
      </c>
      <c r="J5" s="60">
        <v>2.6</v>
      </c>
      <c r="K5" s="22" t="s">
        <v>97</v>
      </c>
      <c r="L5" s="22" t="s">
        <v>98</v>
      </c>
      <c r="M5" s="22"/>
      <c r="N5" s="36" t="s">
        <v>118</v>
      </c>
      <c r="O5" s="9" t="s">
        <v>18</v>
      </c>
      <c r="P5" s="10" t="s">
        <v>65</v>
      </c>
      <c r="Q5" s="13" t="s">
        <v>86</v>
      </c>
      <c r="R5" s="26" t="s">
        <v>62</v>
      </c>
      <c r="S5" s="12"/>
      <c r="T5" s="17" t="s">
        <v>151</v>
      </c>
    </row>
    <row r="6" spans="1:20" ht="15" thickBot="1" x14ac:dyDescent="0.4">
      <c r="A6" s="46" t="s">
        <v>80</v>
      </c>
      <c r="B6" s="61"/>
      <c r="C6" s="47" t="s">
        <v>133</v>
      </c>
      <c r="D6" s="61" t="s">
        <v>95</v>
      </c>
      <c r="E6" s="61" t="s">
        <v>94</v>
      </c>
      <c r="F6" s="47" t="s">
        <v>133</v>
      </c>
      <c r="G6" s="61" t="s">
        <v>131</v>
      </c>
      <c r="H6" s="61" t="s">
        <v>131</v>
      </c>
      <c r="I6" s="61">
        <v>4</v>
      </c>
      <c r="J6" s="62">
        <v>3.7</v>
      </c>
      <c r="K6" s="22"/>
      <c r="L6" s="22"/>
      <c r="M6" s="22"/>
      <c r="N6" s="36"/>
      <c r="O6" s="14"/>
      <c r="P6" s="3"/>
      <c r="Q6" s="58"/>
      <c r="R6" s="30"/>
      <c r="S6" s="5"/>
      <c r="T6" s="17"/>
    </row>
    <row r="7" spans="1:20" ht="58.5" thickBot="1" x14ac:dyDescent="0.4">
      <c r="A7" s="63" t="s">
        <v>81</v>
      </c>
      <c r="B7" s="64" t="s">
        <v>99</v>
      </c>
      <c r="C7" s="64" t="s">
        <v>134</v>
      </c>
      <c r="D7" s="64" t="s">
        <v>100</v>
      </c>
      <c r="E7" s="64" t="s">
        <v>94</v>
      </c>
      <c r="F7" s="64" t="s">
        <v>134</v>
      </c>
      <c r="G7" s="64">
        <f>ROUND(52*(12/52),0)</f>
        <v>12</v>
      </c>
      <c r="H7" s="64">
        <f>ROUND(12.2, 0)</f>
        <v>12</v>
      </c>
      <c r="I7" s="64" t="s">
        <v>131</v>
      </c>
      <c r="J7" s="65" t="s">
        <v>131</v>
      </c>
      <c r="K7" s="23" t="s">
        <v>102</v>
      </c>
      <c r="L7" s="23" t="s">
        <v>103</v>
      </c>
      <c r="M7" s="23" t="s">
        <v>104</v>
      </c>
      <c r="N7" s="38" t="s">
        <v>115</v>
      </c>
      <c r="O7" s="28" t="s">
        <v>73</v>
      </c>
      <c r="P7" s="3" t="s">
        <v>21</v>
      </c>
      <c r="Q7" s="4" t="s">
        <v>19</v>
      </c>
      <c r="R7" s="30" t="s">
        <v>62</v>
      </c>
      <c r="S7" s="15" t="s">
        <v>66</v>
      </c>
      <c r="T7" s="21" t="s">
        <v>153</v>
      </c>
    </row>
    <row r="8" spans="1:20" ht="72.5" x14ac:dyDescent="0.35">
      <c r="A8" s="66" t="s">
        <v>82</v>
      </c>
      <c r="B8" s="67"/>
      <c r="C8" s="67" t="s">
        <v>135</v>
      </c>
      <c r="D8" s="50" t="s">
        <v>92</v>
      </c>
      <c r="E8" s="59" t="s">
        <v>94</v>
      </c>
      <c r="F8" s="67" t="s">
        <v>135</v>
      </c>
      <c r="G8" s="68">
        <f>ROUND(12*340/365.25,0)</f>
        <v>11</v>
      </c>
      <c r="H8" s="69">
        <f>ROUND(1.15*12,0)</f>
        <v>14</v>
      </c>
      <c r="I8" s="59">
        <f>ROUND(12*190/365.25,0)</f>
        <v>6</v>
      </c>
      <c r="J8" s="70">
        <f>ROUND(12*208/365.25,0)</f>
        <v>7</v>
      </c>
      <c r="K8" s="31" t="s">
        <v>106</v>
      </c>
      <c r="L8" s="24" t="s">
        <v>107</v>
      </c>
      <c r="M8" s="33" t="s">
        <v>105</v>
      </c>
      <c r="N8" s="24" t="s">
        <v>116</v>
      </c>
      <c r="O8" s="14" t="s">
        <v>41</v>
      </c>
      <c r="P8" s="3" t="s">
        <v>33</v>
      </c>
      <c r="Q8" s="3" t="s">
        <v>34</v>
      </c>
      <c r="R8" s="128" t="s">
        <v>62</v>
      </c>
      <c r="S8" s="5"/>
      <c r="T8" s="20" t="s">
        <v>154</v>
      </c>
    </row>
    <row r="9" spans="1:20" ht="15" thickBot="1" x14ac:dyDescent="0.4">
      <c r="A9" s="71" t="s">
        <v>82</v>
      </c>
      <c r="B9" s="72"/>
      <c r="C9" s="72" t="s">
        <v>136</v>
      </c>
      <c r="D9" s="47" t="s">
        <v>92</v>
      </c>
      <c r="E9" s="61" t="s">
        <v>94</v>
      </c>
      <c r="F9" s="72" t="s">
        <v>136</v>
      </c>
      <c r="G9" s="73">
        <f>ROUND(12*770/365.25,0)</f>
        <v>25</v>
      </c>
      <c r="H9" s="74">
        <f>ROUND(2.1*12,0)</f>
        <v>25</v>
      </c>
      <c r="I9" s="61">
        <v>12</v>
      </c>
      <c r="J9" s="75">
        <f>ROUND(12*1.28,0)</f>
        <v>15</v>
      </c>
      <c r="K9" s="24"/>
      <c r="L9" s="24" t="s">
        <v>108</v>
      </c>
      <c r="M9" s="24"/>
      <c r="N9" s="24"/>
      <c r="O9" s="16"/>
      <c r="P9" s="7" t="s">
        <v>36</v>
      </c>
      <c r="Q9" s="6" t="s">
        <v>35</v>
      </c>
      <c r="R9" s="129"/>
      <c r="S9" s="8"/>
    </row>
    <row r="10" spans="1:20" ht="72.5" x14ac:dyDescent="0.35">
      <c r="A10" s="49" t="s">
        <v>83</v>
      </c>
      <c r="B10" s="40"/>
      <c r="C10" s="76" t="s">
        <v>137</v>
      </c>
      <c r="D10" s="50" t="s">
        <v>92</v>
      </c>
      <c r="E10" s="59" t="s">
        <v>94</v>
      </c>
      <c r="F10" s="76" t="s">
        <v>137</v>
      </c>
      <c r="G10" s="50">
        <f>ROUND(12*175/365.25,0)</f>
        <v>6</v>
      </c>
      <c r="H10" s="69" t="s">
        <v>131</v>
      </c>
      <c r="I10" s="50">
        <f>ROUND(12*375/365.25,0)</f>
        <v>12</v>
      </c>
      <c r="J10" s="51">
        <f>ROUND(12*199/365.25,0)</f>
        <v>7</v>
      </c>
      <c r="K10" t="s">
        <v>111</v>
      </c>
      <c r="L10" s="2" t="s">
        <v>112</v>
      </c>
      <c r="M10" t="s">
        <v>113</v>
      </c>
      <c r="N10" t="s">
        <v>116</v>
      </c>
      <c r="O10" s="9" t="s">
        <v>42</v>
      </c>
      <c r="P10" s="10" t="s">
        <v>88</v>
      </c>
      <c r="Q10" s="10"/>
      <c r="R10" s="27" t="s">
        <v>62</v>
      </c>
      <c r="S10" s="12"/>
      <c r="T10" s="17" t="s">
        <v>155</v>
      </c>
    </row>
    <row r="11" spans="1:20" ht="15" thickBot="1" x14ac:dyDescent="0.4">
      <c r="A11" s="46" t="s">
        <v>83</v>
      </c>
      <c r="B11" s="77"/>
      <c r="C11" s="78" t="s">
        <v>138</v>
      </c>
      <c r="D11" s="47" t="s">
        <v>92</v>
      </c>
      <c r="E11" s="61" t="s">
        <v>94</v>
      </c>
      <c r="F11" s="78" t="s">
        <v>138</v>
      </c>
      <c r="G11" s="47">
        <f>ROUND(12*300/365.25,0)</f>
        <v>10</v>
      </c>
      <c r="H11" s="74">
        <f>ROUND(12*76/365.25,0)</f>
        <v>2</v>
      </c>
      <c r="I11" s="47">
        <f>ROUND(12*375/365.25,0)</f>
        <v>12</v>
      </c>
      <c r="J11" s="48">
        <f>ROUND(12*137/365.25,0)</f>
        <v>5</v>
      </c>
      <c r="L11" s="2"/>
      <c r="O11" s="43"/>
      <c r="P11" s="3"/>
      <c r="Q11" s="3"/>
      <c r="R11" s="29"/>
      <c r="S11" s="5"/>
      <c r="T11" s="17"/>
    </row>
    <row r="12" spans="1:20" x14ac:dyDescent="0.35">
      <c r="A12" s="49" t="s">
        <v>84</v>
      </c>
      <c r="B12" s="40"/>
      <c r="C12" s="76" t="s">
        <v>140</v>
      </c>
      <c r="D12" s="50" t="s">
        <v>95</v>
      </c>
      <c r="E12" s="76" t="s">
        <v>139</v>
      </c>
      <c r="F12" s="76" t="s">
        <v>140</v>
      </c>
      <c r="G12" s="76" t="s">
        <v>131</v>
      </c>
      <c r="H12" s="76" t="s">
        <v>131</v>
      </c>
      <c r="I12" s="76">
        <f>13*12/52</f>
        <v>3</v>
      </c>
      <c r="J12" s="79">
        <v>3</v>
      </c>
      <c r="K12" t="s">
        <v>120</v>
      </c>
      <c r="M12" t="s">
        <v>121</v>
      </c>
      <c r="N12" t="s">
        <v>116</v>
      </c>
      <c r="O12" t="s">
        <v>69</v>
      </c>
      <c r="P12" s="4" t="s">
        <v>26</v>
      </c>
      <c r="Q12" s="4" t="s">
        <v>24</v>
      </c>
      <c r="R12" s="124" t="s">
        <v>62</v>
      </c>
      <c r="S12" s="5" t="s">
        <v>25</v>
      </c>
      <c r="T12" t="s">
        <v>156</v>
      </c>
    </row>
    <row r="13" spans="1:20" ht="15" thickBot="1" x14ac:dyDescent="0.4">
      <c r="A13" s="46" t="s">
        <v>84</v>
      </c>
      <c r="B13" s="77"/>
      <c r="C13" s="78" t="s">
        <v>141</v>
      </c>
      <c r="D13" s="47" t="s">
        <v>95</v>
      </c>
      <c r="E13" s="78" t="s">
        <v>139</v>
      </c>
      <c r="F13" s="78" t="s">
        <v>141</v>
      </c>
      <c r="G13" s="78" t="s">
        <v>131</v>
      </c>
      <c r="H13" s="78" t="s">
        <v>131</v>
      </c>
      <c r="I13" s="77">
        <f>13*12/52</f>
        <v>3</v>
      </c>
      <c r="J13" s="80">
        <v>14</v>
      </c>
      <c r="O13" s="16"/>
      <c r="P13" s="6"/>
      <c r="Q13" s="7" t="s">
        <v>27</v>
      </c>
      <c r="R13" s="125"/>
      <c r="S13" s="8"/>
    </row>
    <row r="14" spans="1:20" x14ac:dyDescent="0.35">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D1" workbookViewId="0">
      <selection activeCell="E10" sqref="E10"/>
    </sheetView>
  </sheetViews>
  <sheetFormatPr defaultRowHeight="14.5" x14ac:dyDescent="0.35"/>
  <cols>
    <col min="1" max="1" width="30.453125" customWidth="1"/>
    <col min="2" max="3" width="43" customWidth="1"/>
    <col min="4" max="4" width="23.81640625" customWidth="1"/>
    <col min="5" max="6" width="43" customWidth="1"/>
    <col min="7" max="7" width="35.26953125" customWidth="1"/>
    <col min="8" max="10" width="32.7265625" customWidth="1"/>
    <col min="11" max="14" width="43" customWidth="1"/>
    <col min="15" max="15" width="63.81640625" customWidth="1"/>
    <col min="16" max="16" width="40.453125" customWidth="1"/>
    <col min="17" max="17" width="57.81640625" customWidth="1"/>
    <col min="18" max="18" width="46.26953125" customWidth="1"/>
    <col min="19" max="19" width="29.81640625" customWidth="1"/>
    <col min="20" max="20" width="25" customWidth="1"/>
  </cols>
  <sheetData>
    <row r="1" spans="1:20" ht="15" thickBot="1" x14ac:dyDescent="0.4">
      <c r="A1" s="39">
        <f>COUNTA($A$2:A2)</f>
        <v>1</v>
      </c>
      <c r="B1" s="39">
        <f>COUNTA($A$2:B2)</f>
        <v>2</v>
      </c>
      <c r="C1" s="39">
        <f>COUNTA($A$2:C2)</f>
        <v>3</v>
      </c>
      <c r="D1" s="39">
        <f>COUNTA($A$2:D2)</f>
        <v>4</v>
      </c>
      <c r="E1" s="39">
        <f>COUNTA($A$2:E2)</f>
        <v>5</v>
      </c>
      <c r="F1" s="39">
        <f>COUNTA($A$2:F2)</f>
        <v>6</v>
      </c>
      <c r="G1" s="54" t="s">
        <v>127</v>
      </c>
      <c r="H1" s="42"/>
      <c r="I1" s="41" t="s">
        <v>130</v>
      </c>
      <c r="J1" s="42"/>
      <c r="K1" s="39">
        <f>COUNTA($A$2:K2)</f>
        <v>11</v>
      </c>
    </row>
    <row r="2" spans="1:20" ht="41.25" customHeight="1" thickBot="1" x14ac:dyDescent="0.4">
      <c r="A2" s="52" t="s">
        <v>78</v>
      </c>
      <c r="B2" s="53" t="s">
        <v>63</v>
      </c>
      <c r="C2" s="53" t="s">
        <v>122</v>
      </c>
      <c r="D2" s="53" t="s">
        <v>90</v>
      </c>
      <c r="E2" s="53" t="s">
        <v>91</v>
      </c>
      <c r="F2" s="53" t="s">
        <v>125</v>
      </c>
      <c r="G2" s="55" t="s">
        <v>128</v>
      </c>
      <c r="H2" s="57" t="s">
        <v>129</v>
      </c>
      <c r="I2" s="56" t="s">
        <v>128</v>
      </c>
      <c r="J2" s="57" t="s">
        <v>129</v>
      </c>
      <c r="K2" t="s">
        <v>117</v>
      </c>
      <c r="L2" t="s">
        <v>89</v>
      </c>
      <c r="M2" t="s">
        <v>63</v>
      </c>
      <c r="N2" t="s">
        <v>109</v>
      </c>
      <c r="O2" t="s">
        <v>0</v>
      </c>
      <c r="P2" t="s">
        <v>2</v>
      </c>
      <c r="Q2" t="s">
        <v>0</v>
      </c>
      <c r="R2" t="s">
        <v>59</v>
      </c>
      <c r="S2" t="s">
        <v>63</v>
      </c>
      <c r="T2" t="s">
        <v>70</v>
      </c>
    </row>
    <row r="3" spans="1:20" ht="131" thickBot="1" x14ac:dyDescent="0.4">
      <c r="A3" s="49" t="s">
        <v>79</v>
      </c>
      <c r="B3" s="50" t="s">
        <v>85</v>
      </c>
      <c r="C3" s="50" t="s">
        <v>124</v>
      </c>
      <c r="D3" s="50" t="s">
        <v>147</v>
      </c>
      <c r="E3" s="50" t="s">
        <v>150</v>
      </c>
      <c r="F3" s="50" t="s">
        <v>123</v>
      </c>
      <c r="G3" s="50">
        <v>18.600000000000001</v>
      </c>
      <c r="H3" s="50">
        <v>18.3</v>
      </c>
      <c r="I3" s="50">
        <v>11.8</v>
      </c>
      <c r="J3" s="51">
        <v>16.399999999999999</v>
      </c>
      <c r="K3" s="25" t="s">
        <v>93</v>
      </c>
      <c r="L3" s="25" t="s">
        <v>110</v>
      </c>
      <c r="M3" s="25" t="s">
        <v>119</v>
      </c>
      <c r="N3" s="37" t="s">
        <v>115</v>
      </c>
      <c r="O3" s="9" t="s">
        <v>31</v>
      </c>
      <c r="P3" s="13" t="s">
        <v>14</v>
      </c>
      <c r="Q3" s="11" t="s">
        <v>15</v>
      </c>
      <c r="R3" s="26" t="s">
        <v>62</v>
      </c>
      <c r="S3" s="12"/>
      <c r="T3" s="20" t="s">
        <v>71</v>
      </c>
    </row>
    <row r="4" spans="1:20" ht="29.5" thickBot="1" x14ac:dyDescent="0.4">
      <c r="A4" s="44" t="s">
        <v>79</v>
      </c>
      <c r="B4" s="23"/>
      <c r="C4" s="23" t="s">
        <v>126</v>
      </c>
      <c r="D4" s="50" t="s">
        <v>147</v>
      </c>
      <c r="E4" s="50" t="s">
        <v>150</v>
      </c>
      <c r="F4" s="23" t="s">
        <v>149</v>
      </c>
      <c r="G4" s="23">
        <v>3.2</v>
      </c>
      <c r="H4" s="23" t="s">
        <v>131</v>
      </c>
      <c r="I4" s="23">
        <v>12.5</v>
      </c>
      <c r="J4" s="45">
        <v>14.9</v>
      </c>
      <c r="K4" s="25"/>
      <c r="L4" s="25"/>
      <c r="M4" s="25"/>
      <c r="N4" s="37"/>
      <c r="O4" s="9"/>
      <c r="P4" s="13"/>
      <c r="Q4" s="11"/>
      <c r="R4" s="26"/>
      <c r="S4" s="12"/>
      <c r="T4" s="20"/>
    </row>
    <row r="5" spans="1:20" ht="58" x14ac:dyDescent="0.35">
      <c r="A5" s="49" t="s">
        <v>80</v>
      </c>
      <c r="B5" s="59" t="s">
        <v>87</v>
      </c>
      <c r="C5" s="50" t="s">
        <v>132</v>
      </c>
      <c r="D5" s="59" t="s">
        <v>95</v>
      </c>
      <c r="E5" s="59" t="s">
        <v>94</v>
      </c>
      <c r="F5" s="50" t="s">
        <v>132</v>
      </c>
      <c r="G5" s="50" t="s">
        <v>131</v>
      </c>
      <c r="H5" s="50" t="s">
        <v>131</v>
      </c>
      <c r="I5" s="50">
        <v>4</v>
      </c>
      <c r="J5" s="60">
        <v>4.5999999999999996</v>
      </c>
      <c r="K5" s="22" t="s">
        <v>97</v>
      </c>
      <c r="L5" s="22" t="s">
        <v>98</v>
      </c>
      <c r="M5" s="22"/>
      <c r="N5" s="36" t="s">
        <v>118</v>
      </c>
      <c r="O5" s="9" t="s">
        <v>18</v>
      </c>
      <c r="P5" s="10" t="s">
        <v>65</v>
      </c>
      <c r="Q5" s="13" t="s">
        <v>86</v>
      </c>
      <c r="R5" s="26" t="s">
        <v>62</v>
      </c>
      <c r="S5" s="12"/>
      <c r="T5" s="17" t="s">
        <v>72</v>
      </c>
    </row>
    <row r="6" spans="1:20" ht="15" thickBot="1" x14ac:dyDescent="0.4">
      <c r="A6" s="46" t="s">
        <v>80</v>
      </c>
      <c r="B6" s="61"/>
      <c r="C6" s="47" t="s">
        <v>133</v>
      </c>
      <c r="D6" s="61" t="s">
        <v>95</v>
      </c>
      <c r="E6" s="61" t="s">
        <v>94</v>
      </c>
      <c r="F6" s="47" t="s">
        <v>133</v>
      </c>
      <c r="G6" s="61" t="s">
        <v>131</v>
      </c>
      <c r="H6" s="61" t="s">
        <v>131</v>
      </c>
      <c r="I6" s="61">
        <v>4</v>
      </c>
      <c r="J6" s="62">
        <v>1.6</v>
      </c>
      <c r="K6" s="22"/>
      <c r="L6" s="22"/>
      <c r="M6" s="22"/>
      <c r="N6" s="36"/>
      <c r="O6" s="14"/>
      <c r="P6" s="3"/>
      <c r="Q6" s="58"/>
      <c r="R6" s="30"/>
      <c r="S6" s="5"/>
      <c r="T6" s="17"/>
    </row>
    <row r="7" spans="1:20" ht="58.5" thickBot="1" x14ac:dyDescent="0.4">
      <c r="A7" s="63" t="s">
        <v>81</v>
      </c>
      <c r="B7" s="64" t="s">
        <v>99</v>
      </c>
      <c r="C7" s="64" t="s">
        <v>134</v>
      </c>
      <c r="D7" s="64" t="s">
        <v>148</v>
      </c>
      <c r="E7" s="64" t="s">
        <v>94</v>
      </c>
      <c r="F7" s="64" t="s">
        <v>134</v>
      </c>
      <c r="G7" s="64">
        <f>ROUND(52*(12/52),0)</f>
        <v>12</v>
      </c>
      <c r="H7" s="64">
        <v>12.2</v>
      </c>
      <c r="I7" s="64" t="s">
        <v>131</v>
      </c>
      <c r="J7" s="65" t="s">
        <v>131</v>
      </c>
      <c r="K7" s="23" t="s">
        <v>102</v>
      </c>
      <c r="L7" s="23" t="s">
        <v>103</v>
      </c>
      <c r="M7" s="23" t="s">
        <v>104</v>
      </c>
      <c r="N7" s="38" t="s">
        <v>115</v>
      </c>
      <c r="O7" s="28" t="s">
        <v>73</v>
      </c>
      <c r="P7" s="3" t="s">
        <v>21</v>
      </c>
      <c r="Q7" s="4" t="s">
        <v>19</v>
      </c>
      <c r="R7" s="30" t="s">
        <v>62</v>
      </c>
      <c r="S7" s="15" t="s">
        <v>66</v>
      </c>
      <c r="T7" s="21" t="s">
        <v>74</v>
      </c>
    </row>
    <row r="8" spans="1:20" ht="72.5" x14ac:dyDescent="0.35">
      <c r="A8" s="66" t="s">
        <v>82</v>
      </c>
      <c r="B8" s="67"/>
      <c r="C8" s="67" t="s">
        <v>135</v>
      </c>
      <c r="D8" s="50" t="s">
        <v>92</v>
      </c>
      <c r="E8" s="59" t="s">
        <v>94</v>
      </c>
      <c r="F8" s="67" t="s">
        <v>142</v>
      </c>
      <c r="G8" s="68">
        <f>ROUND(12*340/365.25,1)</f>
        <v>11.2</v>
      </c>
      <c r="H8" s="69">
        <v>13.8</v>
      </c>
      <c r="I8" s="59">
        <f>ROUND(12*190/365.25,1)</f>
        <v>6.2</v>
      </c>
      <c r="J8" s="70">
        <v>6.8</v>
      </c>
      <c r="K8" s="31" t="s">
        <v>106</v>
      </c>
      <c r="L8" s="24" t="s">
        <v>107</v>
      </c>
      <c r="M8" s="33" t="s">
        <v>105</v>
      </c>
      <c r="N8" s="24" t="s">
        <v>116</v>
      </c>
      <c r="O8" s="14" t="s">
        <v>41</v>
      </c>
      <c r="P8" s="3" t="s">
        <v>33</v>
      </c>
      <c r="Q8" s="3" t="s">
        <v>34</v>
      </c>
      <c r="R8" s="128" t="s">
        <v>62</v>
      </c>
      <c r="S8" s="5"/>
      <c r="T8" s="20" t="s">
        <v>75</v>
      </c>
    </row>
    <row r="9" spans="1:20" ht="15" thickBot="1" x14ac:dyDescent="0.4">
      <c r="A9" s="71" t="s">
        <v>82</v>
      </c>
      <c r="B9" s="72"/>
      <c r="C9" s="72" t="s">
        <v>136</v>
      </c>
      <c r="D9" s="47" t="s">
        <v>92</v>
      </c>
      <c r="E9" s="61" t="s">
        <v>94</v>
      </c>
      <c r="F9" s="72" t="s">
        <v>143</v>
      </c>
      <c r="G9" s="73">
        <f>ROUND(12*770/365.25,1)</f>
        <v>25.3</v>
      </c>
      <c r="H9" s="74">
        <v>25.4</v>
      </c>
      <c r="I9" s="61">
        <v>12</v>
      </c>
      <c r="J9" s="75">
        <v>14.6</v>
      </c>
      <c r="K9" s="24"/>
      <c r="L9" s="24" t="s">
        <v>108</v>
      </c>
      <c r="M9" s="24"/>
      <c r="N9" s="24"/>
      <c r="O9" s="16"/>
      <c r="P9" s="7" t="s">
        <v>36</v>
      </c>
      <c r="Q9" s="6" t="s">
        <v>35</v>
      </c>
      <c r="R9" s="129"/>
      <c r="S9" s="8"/>
    </row>
    <row r="10" spans="1:20" ht="72.5" x14ac:dyDescent="0.35">
      <c r="A10" s="49" t="s">
        <v>83</v>
      </c>
      <c r="B10" s="40"/>
      <c r="C10" s="76" t="s">
        <v>158</v>
      </c>
      <c r="D10" s="50" t="s">
        <v>92</v>
      </c>
      <c r="E10" s="59" t="s">
        <v>94</v>
      </c>
      <c r="F10" s="76" t="s">
        <v>157</v>
      </c>
      <c r="G10" s="50">
        <f>ROUND(12*175/365.25,1)</f>
        <v>5.7</v>
      </c>
      <c r="H10" s="69" t="s">
        <v>131</v>
      </c>
      <c r="I10" s="50">
        <f>ROUND(12*375/365.25,1)</f>
        <v>12.3</v>
      </c>
      <c r="J10" s="51">
        <v>6.7</v>
      </c>
      <c r="K10" t="s">
        <v>111</v>
      </c>
      <c r="L10" s="2" t="s">
        <v>112</v>
      </c>
      <c r="M10" t="s">
        <v>113</v>
      </c>
      <c r="N10" t="s">
        <v>116</v>
      </c>
      <c r="O10" s="9" t="s">
        <v>42</v>
      </c>
      <c r="P10" s="10" t="s">
        <v>88</v>
      </c>
      <c r="Q10" s="10"/>
      <c r="R10" s="27" t="s">
        <v>62</v>
      </c>
      <c r="S10" s="12"/>
      <c r="T10" s="17" t="s">
        <v>76</v>
      </c>
    </row>
    <row r="11" spans="1:20" ht="15" thickBot="1" x14ac:dyDescent="0.4">
      <c r="A11" s="46" t="s">
        <v>83</v>
      </c>
      <c r="B11" s="77"/>
      <c r="C11" s="78" t="s">
        <v>138</v>
      </c>
      <c r="D11" s="47" t="s">
        <v>92</v>
      </c>
      <c r="E11" s="61" t="s">
        <v>94</v>
      </c>
      <c r="F11" s="78" t="s">
        <v>144</v>
      </c>
      <c r="G11" s="47">
        <f>ROUND(12*300/365.25,1)</f>
        <v>9.9</v>
      </c>
      <c r="H11" s="74">
        <v>2.5</v>
      </c>
      <c r="I11" s="47">
        <f>ROUND(12*375/365.25,1)</f>
        <v>12.3</v>
      </c>
      <c r="J11" s="48">
        <v>4.5</v>
      </c>
      <c r="L11" s="2"/>
      <c r="O11" s="43"/>
      <c r="P11" s="3"/>
      <c r="Q11" s="3"/>
      <c r="R11" s="29"/>
      <c r="S11" s="5"/>
      <c r="T11" s="17"/>
    </row>
    <row r="12" spans="1:20" x14ac:dyDescent="0.35">
      <c r="A12" s="49" t="s">
        <v>84</v>
      </c>
      <c r="B12" s="40"/>
      <c r="C12" s="76" t="s">
        <v>140</v>
      </c>
      <c r="D12" s="50" t="s">
        <v>95</v>
      </c>
      <c r="E12" s="76" t="s">
        <v>139</v>
      </c>
      <c r="F12" s="76" t="s">
        <v>145</v>
      </c>
      <c r="G12" s="76" t="s">
        <v>131</v>
      </c>
      <c r="H12" s="76" t="s">
        <v>131</v>
      </c>
      <c r="I12" s="76">
        <f>13*12/52</f>
        <v>3</v>
      </c>
      <c r="J12" s="79">
        <v>3</v>
      </c>
      <c r="K12" t="s">
        <v>120</v>
      </c>
      <c r="M12" t="s">
        <v>121</v>
      </c>
      <c r="N12" t="s">
        <v>116</v>
      </c>
      <c r="O12" t="s">
        <v>69</v>
      </c>
      <c r="P12" s="4" t="s">
        <v>26</v>
      </c>
      <c r="Q12" s="4" t="s">
        <v>24</v>
      </c>
      <c r="R12" s="124" t="s">
        <v>62</v>
      </c>
      <c r="S12" s="5" t="s">
        <v>25</v>
      </c>
      <c r="T12" t="s">
        <v>77</v>
      </c>
    </row>
    <row r="13" spans="1:20" ht="15" thickBot="1" x14ac:dyDescent="0.4">
      <c r="A13" s="46" t="s">
        <v>84</v>
      </c>
      <c r="B13" s="77"/>
      <c r="C13" s="78" t="s">
        <v>141</v>
      </c>
      <c r="D13" s="47" t="s">
        <v>95</v>
      </c>
      <c r="E13" s="78" t="s">
        <v>139</v>
      </c>
      <c r="F13" s="78" t="s">
        <v>146</v>
      </c>
      <c r="G13" s="78" t="s">
        <v>131</v>
      </c>
      <c r="H13" s="78" t="s">
        <v>131</v>
      </c>
      <c r="I13" s="77">
        <v>3</v>
      </c>
      <c r="J13" s="80">
        <v>14</v>
      </c>
      <c r="K13" t="str">
        <f>" (Also considered "&amp;ROUND(62*(12/52),0)&amp;" and "&amp;ROUND(72*(12/52),0)</f>
        <v xml:space="preserve"> (Also considered 14 and 17</v>
      </c>
      <c r="O13" s="16"/>
      <c r="P13" s="6"/>
      <c r="Q13" s="7" t="s">
        <v>27</v>
      </c>
      <c r="R13" s="125"/>
      <c r="S13" s="8"/>
    </row>
    <row r="14" spans="1:20" x14ac:dyDescent="0.35">
      <c r="A14" t="s">
        <v>171</v>
      </c>
      <c r="C14" s="35" t="s">
        <v>134</v>
      </c>
      <c r="D14" s="35" t="s">
        <v>172</v>
      </c>
      <c r="E14" s="59" t="s">
        <v>94</v>
      </c>
      <c r="F14" s="35" t="s">
        <v>134</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E34"/>
  <sheetViews>
    <sheetView workbookViewId="0">
      <selection activeCell="B29" sqref="B29"/>
    </sheetView>
  </sheetViews>
  <sheetFormatPr defaultRowHeight="14.5" x14ac:dyDescent="0.35"/>
  <cols>
    <col min="1" max="1" width="33.6328125" customWidth="1"/>
    <col min="2" max="2" width="100.7265625" customWidth="1"/>
    <col min="3" max="3" width="22.54296875" customWidth="1"/>
    <col min="4" max="4" width="24.81640625" customWidth="1"/>
  </cols>
  <sheetData>
    <row r="1" spans="1:5" ht="43.5" x14ac:dyDescent="0.35">
      <c r="A1" s="105" t="s">
        <v>294</v>
      </c>
      <c r="B1" s="105" t="s">
        <v>281</v>
      </c>
      <c r="C1" s="106" t="s">
        <v>298</v>
      </c>
      <c r="D1" s="105" t="s">
        <v>282</v>
      </c>
    </row>
    <row r="2" spans="1:5" ht="43.5" x14ac:dyDescent="0.35">
      <c r="A2">
        <v>15</v>
      </c>
      <c r="B2" s="2" t="s">
        <v>289</v>
      </c>
      <c r="C2" t="s">
        <v>191</v>
      </c>
    </row>
    <row r="3" spans="1:5" ht="43.5" x14ac:dyDescent="0.35">
      <c r="A3">
        <v>17</v>
      </c>
      <c r="B3" s="2" t="s">
        <v>290</v>
      </c>
      <c r="C3" s="85" t="s">
        <v>82</v>
      </c>
    </row>
    <row r="4" spans="1:5" ht="43.5" x14ac:dyDescent="0.35">
      <c r="A4">
        <v>20</v>
      </c>
      <c r="B4" s="2" t="s">
        <v>288</v>
      </c>
      <c r="C4" t="s">
        <v>190</v>
      </c>
    </row>
    <row r="5" spans="1:5" ht="43.5" x14ac:dyDescent="0.35">
      <c r="A5">
        <v>30</v>
      </c>
      <c r="B5" s="2" t="s">
        <v>291</v>
      </c>
      <c r="C5" t="s">
        <v>189</v>
      </c>
    </row>
    <row r="6" spans="1:5" ht="43.5" x14ac:dyDescent="0.35">
      <c r="A6">
        <v>38</v>
      </c>
      <c r="B6" s="2" t="s">
        <v>287</v>
      </c>
      <c r="C6" t="s">
        <v>188</v>
      </c>
    </row>
    <row r="7" spans="1:5" ht="43.5" x14ac:dyDescent="0.35">
      <c r="A7">
        <v>40</v>
      </c>
      <c r="B7" s="2" t="s">
        <v>286</v>
      </c>
      <c r="C7" t="s">
        <v>187</v>
      </c>
    </row>
    <row r="8" spans="1:5" ht="43.5" x14ac:dyDescent="0.35">
      <c r="A8">
        <v>41</v>
      </c>
      <c r="B8" s="2" t="s">
        <v>280</v>
      </c>
      <c r="C8" t="s">
        <v>186</v>
      </c>
    </row>
    <row r="9" spans="1:5" ht="43.5" x14ac:dyDescent="0.35">
      <c r="A9">
        <v>72</v>
      </c>
      <c r="B9" s="2" t="s">
        <v>292</v>
      </c>
      <c r="C9" t="s">
        <v>185</v>
      </c>
    </row>
    <row r="10" spans="1:5" ht="43.5" x14ac:dyDescent="0.35">
      <c r="A10">
        <v>54</v>
      </c>
      <c r="B10" s="2" t="s">
        <v>293</v>
      </c>
      <c r="C10" s="85" t="s">
        <v>79</v>
      </c>
    </row>
    <row r="11" spans="1:5" ht="58" x14ac:dyDescent="0.35">
      <c r="A11">
        <v>56</v>
      </c>
      <c r="B11" s="2" t="s">
        <v>184</v>
      </c>
      <c r="C11" t="s">
        <v>183</v>
      </c>
    </row>
    <row r="12" spans="1:5" ht="72.5" x14ac:dyDescent="0.35">
      <c r="A12">
        <v>64</v>
      </c>
      <c r="B12" s="2" t="s">
        <v>182</v>
      </c>
      <c r="C12" t="s">
        <v>181</v>
      </c>
      <c r="E12" t="s">
        <v>180</v>
      </c>
    </row>
    <row r="13" spans="1:5" ht="43.5" x14ac:dyDescent="0.35">
      <c r="A13">
        <v>66</v>
      </c>
      <c r="B13" s="2" t="s">
        <v>179</v>
      </c>
      <c r="C13" t="s">
        <v>178</v>
      </c>
    </row>
    <row r="14" spans="1:5" ht="43.5" x14ac:dyDescent="0.35">
      <c r="A14">
        <v>68</v>
      </c>
      <c r="B14" s="2" t="s">
        <v>177</v>
      </c>
      <c r="C14" s="85" t="s">
        <v>81</v>
      </c>
    </row>
    <row r="15" spans="1:5" ht="43.5" x14ac:dyDescent="0.35">
      <c r="A15">
        <v>18</v>
      </c>
      <c r="B15" s="2" t="s">
        <v>295</v>
      </c>
      <c r="C15" s="85" t="s">
        <v>80</v>
      </c>
      <c r="D15" t="s">
        <v>283</v>
      </c>
    </row>
    <row r="16" spans="1:5" ht="43.5" x14ac:dyDescent="0.35">
      <c r="A16">
        <v>37</v>
      </c>
      <c r="B16" s="2" t="s">
        <v>296</v>
      </c>
      <c r="C16" s="85" t="s">
        <v>83</v>
      </c>
      <c r="D16" t="s">
        <v>283</v>
      </c>
    </row>
    <row r="17" spans="1:4" ht="29" x14ac:dyDescent="0.35">
      <c r="A17" t="s">
        <v>285</v>
      </c>
      <c r="B17" s="2" t="s">
        <v>297</v>
      </c>
      <c r="C17" s="85" t="s">
        <v>171</v>
      </c>
      <c r="D17" t="s">
        <v>284</v>
      </c>
    </row>
    <row r="19" spans="1:4" x14ac:dyDescent="0.35">
      <c r="A19" s="85" t="s">
        <v>299</v>
      </c>
      <c r="B19" s="2"/>
    </row>
    <row r="20" spans="1:4" x14ac:dyDescent="0.35">
      <c r="B20" s="2"/>
    </row>
    <row r="21" spans="1:4" x14ac:dyDescent="0.35">
      <c r="B21" s="2"/>
    </row>
    <row r="22" spans="1:4" x14ac:dyDescent="0.35">
      <c r="B22" s="2"/>
    </row>
    <row r="23" spans="1:4" x14ac:dyDescent="0.35">
      <c r="B23" s="2"/>
    </row>
    <row r="24" spans="1:4" x14ac:dyDescent="0.35">
      <c r="A24" s="105" t="s">
        <v>300</v>
      </c>
      <c r="B24" s="84"/>
    </row>
    <row r="25" spans="1:4" x14ac:dyDescent="0.35">
      <c r="B25" s="83"/>
    </row>
    <row r="26" spans="1:4" x14ac:dyDescent="0.35">
      <c r="B26" s="2"/>
    </row>
    <row r="27" spans="1:4" x14ac:dyDescent="0.35">
      <c r="B27" s="2"/>
    </row>
    <row r="28" spans="1:4" x14ac:dyDescent="0.35">
      <c r="B28" s="2"/>
    </row>
    <row r="29" spans="1:4" x14ac:dyDescent="0.35">
      <c r="B29" s="2"/>
    </row>
    <row r="30" spans="1:4" x14ac:dyDescent="0.35">
      <c r="B30" s="2"/>
    </row>
    <row r="31" spans="1:4" x14ac:dyDescent="0.35">
      <c r="B31" s="2"/>
    </row>
    <row r="32" spans="1:4" x14ac:dyDescent="0.35">
      <c r="B32" s="2"/>
    </row>
    <row r="33" spans="2:2" x14ac:dyDescent="0.35">
      <c r="B33" s="2"/>
    </row>
    <row r="34" spans="2:2" x14ac:dyDescent="0.35">
      <c r="B34" s="2"/>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B1:H6"/>
  <sheetViews>
    <sheetView workbookViewId="0">
      <selection activeCell="B1" sqref="B1:E3"/>
    </sheetView>
  </sheetViews>
  <sheetFormatPr defaultRowHeight="14.5" x14ac:dyDescent="0.35"/>
  <cols>
    <col min="2" max="3" width="20.453125" customWidth="1"/>
    <col min="4" max="4" width="26.26953125" customWidth="1"/>
    <col min="5" max="5" width="51.54296875" customWidth="1"/>
  </cols>
  <sheetData>
    <row r="1" spans="2:8" x14ac:dyDescent="0.35">
      <c r="B1" s="90" t="s">
        <v>193</v>
      </c>
      <c r="C1" s="90" t="s">
        <v>214</v>
      </c>
      <c r="D1" s="90" t="s">
        <v>213</v>
      </c>
      <c r="E1" s="90" t="s">
        <v>159</v>
      </c>
    </row>
    <row r="2" spans="2:8" x14ac:dyDescent="0.35">
      <c r="B2" s="90" t="s">
        <v>198</v>
      </c>
      <c r="C2" s="90" t="s">
        <v>215</v>
      </c>
      <c r="D2" s="90" t="s">
        <v>201</v>
      </c>
      <c r="E2" s="91" t="s">
        <v>8</v>
      </c>
    </row>
    <row r="3" spans="2:8" x14ac:dyDescent="0.35">
      <c r="B3" s="90" t="s">
        <v>199</v>
      </c>
      <c r="C3" s="90" t="s">
        <v>215</v>
      </c>
      <c r="D3" s="90" t="s">
        <v>202</v>
      </c>
      <c r="E3" s="91" t="s">
        <v>1</v>
      </c>
    </row>
    <row r="6" spans="2:8" x14ac:dyDescent="0.35">
      <c r="B6" s="92" t="s">
        <v>200</v>
      </c>
      <c r="C6" s="92"/>
      <c r="H6" s="92" t="s">
        <v>199</v>
      </c>
    </row>
  </sheetData>
  <hyperlinks>
    <hyperlink ref="E2" r:id="rId1" xr:uid="{027F39E6-D875-4473-8FE9-51AA425B9290}"/>
    <hyperlink ref="E3" r:id="rId2" xr:uid="{55718302-68EB-414B-888C-91D0200C0C0E}"/>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1:K62"/>
  <sheetViews>
    <sheetView topLeftCell="C43" zoomScale="130" zoomScaleNormal="130" workbookViewId="0">
      <selection activeCell="F52" sqref="F52"/>
    </sheetView>
  </sheetViews>
  <sheetFormatPr defaultRowHeight="14.5" x14ac:dyDescent="0.35"/>
  <cols>
    <col min="2" max="3" width="55.26953125" customWidth="1"/>
    <col min="4" max="4" width="76.453125" customWidth="1"/>
    <col min="5" max="5" width="27.26953125" customWidth="1"/>
    <col min="9" max="9" width="14.26953125" customWidth="1"/>
  </cols>
  <sheetData>
    <row r="1" spans="2:10" x14ac:dyDescent="0.35">
      <c r="B1" s="90" t="s">
        <v>193</v>
      </c>
      <c r="C1" s="90" t="s">
        <v>214</v>
      </c>
      <c r="D1" s="90" t="s">
        <v>213</v>
      </c>
      <c r="E1" s="90" t="s">
        <v>159</v>
      </c>
    </row>
    <row r="2" spans="2:10" x14ac:dyDescent="0.35">
      <c r="B2" s="90" t="s">
        <v>198</v>
      </c>
      <c r="C2" s="90" t="s">
        <v>216</v>
      </c>
      <c r="D2" s="90" t="s">
        <v>218</v>
      </c>
      <c r="E2" s="91" t="s">
        <v>33</v>
      </c>
    </row>
    <row r="3" spans="2:10" x14ac:dyDescent="0.35">
      <c r="B3" s="90" t="s">
        <v>199</v>
      </c>
      <c r="C3" s="90" t="s">
        <v>217</v>
      </c>
      <c r="D3" s="90" t="s">
        <v>206</v>
      </c>
      <c r="E3" s="91" t="s">
        <v>36</v>
      </c>
    </row>
    <row r="4" spans="2:10" x14ac:dyDescent="0.35">
      <c r="B4" s="93" t="s">
        <v>203</v>
      </c>
      <c r="C4" s="93" t="s">
        <v>219</v>
      </c>
      <c r="D4" s="90" t="s">
        <v>210</v>
      </c>
      <c r="E4" s="91" t="s">
        <v>163</v>
      </c>
    </row>
    <row r="6" spans="2:10" x14ac:dyDescent="0.35">
      <c r="E6" s="97" t="s">
        <v>211</v>
      </c>
    </row>
    <row r="14" spans="2:10" x14ac:dyDescent="0.35">
      <c r="I14" t="s">
        <v>204</v>
      </c>
      <c r="J14">
        <f>770/365.25</f>
        <v>2.108145106091718</v>
      </c>
    </row>
    <row r="15" spans="2:10" x14ac:dyDescent="0.35">
      <c r="I15" t="s">
        <v>205</v>
      </c>
      <c r="J15">
        <f>J14*12</f>
        <v>25.297741273100616</v>
      </c>
    </row>
    <row r="57" spans="8:11" x14ac:dyDescent="0.35">
      <c r="I57" t="s">
        <v>305</v>
      </c>
      <c r="J57" t="s">
        <v>309</v>
      </c>
      <c r="K57" t="s">
        <v>310</v>
      </c>
    </row>
    <row r="58" spans="8:11" x14ac:dyDescent="0.35">
      <c r="H58" t="s">
        <v>308</v>
      </c>
      <c r="J58">
        <v>403</v>
      </c>
      <c r="K58">
        <v>137</v>
      </c>
    </row>
    <row r="59" spans="8:11" x14ac:dyDescent="0.35">
      <c r="H59" t="s">
        <v>303</v>
      </c>
      <c r="I59" s="107">
        <f>(J59*J62)+(K59*K62)</f>
        <v>55.904444444444451</v>
      </c>
      <c r="J59">
        <v>55.6</v>
      </c>
      <c r="K59">
        <v>56.8</v>
      </c>
    </row>
    <row r="60" spans="8:11" x14ac:dyDescent="0.35">
      <c r="H60" t="s">
        <v>304</v>
      </c>
      <c r="I60" s="107">
        <f>(J60*J62)+(K60*K62)</f>
        <v>0.6074074074074074</v>
      </c>
      <c r="J60">
        <f>247/J58</f>
        <v>0.61290322580645162</v>
      </c>
      <c r="K60">
        <f>81/K58</f>
        <v>0.59124087591240881</v>
      </c>
    </row>
    <row r="61" spans="8:11" x14ac:dyDescent="0.35">
      <c r="H61" t="s">
        <v>305</v>
      </c>
    </row>
    <row r="62" spans="8:11" x14ac:dyDescent="0.35">
      <c r="H62" t="s">
        <v>307</v>
      </c>
      <c r="J62">
        <f>J58/SUM($J$58:$K$58)</f>
        <v>0.74629629629629635</v>
      </c>
      <c r="K62">
        <f>K58/SUM($J$58:$K$58)</f>
        <v>0.25370370370370371</v>
      </c>
    </row>
  </sheetData>
  <hyperlinks>
    <hyperlink ref="E3" r:id="rId1" xr:uid="{3B43914B-AFDA-48C4-A5C7-47DCC388BF75}"/>
    <hyperlink ref="E2" r:id="rId2" xr:uid="{6EEC127E-C537-44FB-B447-370AFB3990D5}"/>
    <hyperlink ref="E4" r:id="rId3" xr:uid="{7EF42CE7-14CA-4CB2-8D15-BB43C314D522}"/>
  </hyperlinks>
  <pageMargins left="0.7" right="0.7" top="0.75" bottom="0.75" header="0.3" footer="0.3"/>
  <pageSetup paperSize="9" orientation="portrait"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3:I22"/>
  <sheetViews>
    <sheetView topLeftCell="B1" zoomScale="90" zoomScaleNormal="90" workbookViewId="0">
      <selection activeCell="F17" sqref="F17:I22"/>
    </sheetView>
  </sheetViews>
  <sheetFormatPr defaultRowHeight="14.5" x14ac:dyDescent="0.35"/>
  <cols>
    <col min="2" max="2" width="97.81640625" customWidth="1"/>
    <col min="3" max="3" width="46.26953125" customWidth="1"/>
    <col min="4" max="4" width="51.7265625" customWidth="1"/>
    <col min="5" max="5" width="23.453125" customWidth="1"/>
  </cols>
  <sheetData>
    <row r="3" spans="2:5" x14ac:dyDescent="0.35">
      <c r="B3" s="90" t="s">
        <v>193</v>
      </c>
      <c r="C3" s="90" t="s">
        <v>214</v>
      </c>
      <c r="D3" s="90" t="s">
        <v>160</v>
      </c>
      <c r="E3" s="90" t="s">
        <v>159</v>
      </c>
    </row>
    <row r="4" spans="2:5" ht="29" x14ac:dyDescent="0.35">
      <c r="B4" s="95" t="s">
        <v>220</v>
      </c>
      <c r="C4" s="95" t="s">
        <v>223</v>
      </c>
      <c r="D4" s="95" t="s">
        <v>221</v>
      </c>
      <c r="E4" s="1" t="s">
        <v>162</v>
      </c>
    </row>
    <row r="5" spans="2:5" x14ac:dyDescent="0.35">
      <c r="B5" s="90" t="s">
        <v>199</v>
      </c>
      <c r="C5" s="90" t="s">
        <v>222</v>
      </c>
      <c r="D5" s="90" t="s">
        <v>208</v>
      </c>
      <c r="E5" s="1" t="s">
        <v>161</v>
      </c>
    </row>
    <row r="6" spans="2:5" x14ac:dyDescent="0.35">
      <c r="B6" s="90" t="s">
        <v>199</v>
      </c>
      <c r="C6" s="90" t="s">
        <v>312</v>
      </c>
      <c r="D6" s="90" t="s">
        <v>313</v>
      </c>
      <c r="E6" s="1" t="s">
        <v>161</v>
      </c>
    </row>
    <row r="11" spans="2:5" x14ac:dyDescent="0.35">
      <c r="B11" s="96" t="s">
        <v>209</v>
      </c>
      <c r="C11" s="96"/>
    </row>
    <row r="17" spans="6:9" x14ac:dyDescent="0.35">
      <c r="F17" s="90"/>
      <c r="G17" s="90" t="s">
        <v>305</v>
      </c>
      <c r="H17" s="90" t="s">
        <v>132</v>
      </c>
      <c r="I17" s="90" t="s">
        <v>311</v>
      </c>
    </row>
    <row r="18" spans="6:9" x14ac:dyDescent="0.35">
      <c r="F18" s="90"/>
      <c r="G18" s="90"/>
      <c r="H18" s="90">
        <v>337</v>
      </c>
      <c r="I18" s="90">
        <v>338</v>
      </c>
    </row>
    <row r="19" spans="6:9" x14ac:dyDescent="0.35">
      <c r="F19" s="90" t="s">
        <v>303</v>
      </c>
      <c r="G19" s="108">
        <f>(H19*H22)+(I19*I22)</f>
        <v>53.997037037037032</v>
      </c>
      <c r="H19" s="90">
        <v>56</v>
      </c>
      <c r="I19" s="90">
        <v>52</v>
      </c>
    </row>
    <row r="20" spans="6:9" x14ac:dyDescent="0.35">
      <c r="F20" s="90" t="s">
        <v>304</v>
      </c>
      <c r="G20" s="108">
        <f>(H20*H22)+(I20*I22)</f>
        <v>0.47259259259259256</v>
      </c>
      <c r="H20" s="90">
        <f>208/H18</f>
        <v>0.6172106824925816</v>
      </c>
      <c r="I20" s="90">
        <f>111/I18</f>
        <v>0.32840236686390534</v>
      </c>
    </row>
    <row r="21" spans="6:9" x14ac:dyDescent="0.35">
      <c r="F21" s="90" t="s">
        <v>305</v>
      </c>
      <c r="G21" s="90"/>
      <c r="H21" s="90"/>
      <c r="I21" s="90"/>
    </row>
    <row r="22" spans="6:9" x14ac:dyDescent="0.35">
      <c r="F22" s="90" t="s">
        <v>307</v>
      </c>
      <c r="G22" s="90"/>
      <c r="H22" s="90">
        <f>H18/SUM(H18:I18)</f>
        <v>0.49925925925925924</v>
      </c>
      <c r="I22" s="90">
        <f>I18/SUM(H18:I18)</f>
        <v>0.50074074074074071</v>
      </c>
    </row>
  </sheetData>
  <hyperlinks>
    <hyperlink ref="E5" r:id="rId1" xr:uid="{4F4B44D6-3218-4D48-A6D5-2DFC56CCE417}"/>
    <hyperlink ref="E4" r:id="rId2" display="https://www.nejm.org/doi/pdf/10.1056/NEJMoa1103782?articleTools=true" xr:uid="{85CBC973-01FF-4AB7-9101-6F1F49D11C0F}"/>
    <hyperlink ref="E6" r:id="rId3" xr:uid="{6DEF4495-D787-4F8D-9AAF-B001FBF6F53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TA_Final (2)</vt:lpstr>
      <vt:lpstr>TA_Final</vt:lpstr>
      <vt:lpstr>TA_Include</vt:lpstr>
      <vt:lpstr>TA_Include_tidy_backup</vt:lpstr>
      <vt:lpstr>TA_Include_tidy</vt:lpstr>
      <vt:lpstr>Comparison Gorrod</vt:lpstr>
      <vt:lpstr>TA259</vt:lpstr>
      <vt:lpstr>TA268</vt:lpstr>
      <vt:lpstr>TA269</vt:lpstr>
      <vt:lpstr>TA285</vt:lpstr>
      <vt:lpstr>TA347</vt:lpstr>
      <vt:lpstr>TA319</vt:lpstr>
      <vt:lpstr>TA357</vt:lpstr>
      <vt:lpstr>TA366</vt:lpstr>
      <vt:lpstr>TA374</vt:lpstr>
      <vt:lpstr>TA384</vt:lpstr>
      <vt:lpstr>TA396</vt:lpstr>
      <vt:lpstr>TA400</vt:lpstr>
      <vt:lpstr>TA414</vt:lpstr>
      <vt:lpstr>TA417</vt:lpstr>
      <vt:lpstr>TA428</vt:lpstr>
      <vt:lpstr>TA476</vt:lpstr>
      <vt:lpstr>TA447</vt:lpstr>
      <vt:lpstr>TA650</vt:lpstr>
      <vt:lpstr>Final_TAs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2023-03-28T09:59:51Z</dcterms:created>
  <dcterms:modified xsi:type="dcterms:W3CDTF">2023-03-28T10:00:03Z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2023-03-28T10:00:03Z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03f7e042-fb82-4fd7-a339-b457a38f0cd2</vt:lpwstr>
  </property>
  <property fmtid="{D5CDD505-2E9C-101B-9397-08002B2CF9AE}" pid="8" name="MSIP_Label_3c9bec58-8084-492e-8360-0e1cfe36408c_ContentBits">
    <vt:lpwstr>0</vt:lpwstr>
  </property>
</Properties>
</file>